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1aed5436469e9d/Documentos/"/>
    </mc:Choice>
  </mc:AlternateContent>
  <xr:revisionPtr revIDLastSave="6" documentId="6_{C3D3CAD0-B9AC-462E-BC94-FCA9464651BA}" xr6:coauthVersionLast="47" xr6:coauthVersionMax="47" xr10:uidLastSave="{79F69372-FE9F-4846-9908-01F5381D30C2}"/>
  <bookViews>
    <workbookView xWindow="-120" yWindow="-120" windowWidth="29040" windowHeight="15720" xr2:uid="{D5FD836D-7A6C-4CFE-9B85-CA3FC3285308}"/>
  </bookViews>
  <sheets>
    <sheet name="Vl. brutos e IRPF nos anos" sheetId="5" r:id="rId1"/>
    <sheet name="Tabelas mensais diversas" sheetId="6" r:id="rId2"/>
    <sheet name="Gerador de Tabela do IRPF" sheetId="8" r:id="rId3"/>
    <sheet name="Quadro-Resumo do artig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7" l="1"/>
  <c r="S9" i="7"/>
  <c r="Q10" i="7"/>
  <c r="Q9" i="7"/>
  <c r="AY90" i="5"/>
  <c r="AY89" i="5"/>
  <c r="BA89" i="5"/>
  <c r="AZ89" i="5"/>
  <c r="AX89" i="5"/>
  <c r="AY92" i="5"/>
  <c r="AZ92" i="5" s="1"/>
  <c r="R10" i="7"/>
  <c r="R9" i="7"/>
  <c r="AX92" i="5"/>
  <c r="R11" i="7"/>
  <c r="Q12" i="7"/>
  <c r="R12" i="7" s="1"/>
  <c r="Q11" i="7"/>
  <c r="R8" i="7"/>
  <c r="S8" i="7" s="1"/>
  <c r="Q8" i="7"/>
  <c r="Q7" i="7"/>
  <c r="R7" i="7" s="1"/>
  <c r="S7" i="7" s="1"/>
  <c r="AJ48" i="5"/>
  <c r="AJ57" i="5"/>
  <c r="AJ56" i="5"/>
  <c r="AJ55" i="5"/>
  <c r="AJ54" i="5"/>
  <c r="AJ53" i="5"/>
  <c r="AJ52" i="5"/>
  <c r="AJ51" i="5"/>
  <c r="AJ50" i="5"/>
  <c r="AJ49" i="5"/>
  <c r="AJ47" i="5"/>
  <c r="AJ46" i="5"/>
  <c r="AJ45" i="5"/>
  <c r="AJ44" i="5"/>
  <c r="AJ43" i="5"/>
  <c r="AJ42" i="5"/>
  <c r="AJ41" i="5"/>
  <c r="AJ40" i="5"/>
  <c r="AJ39" i="5"/>
  <c r="AJ37" i="5"/>
  <c r="AJ36" i="5"/>
  <c r="AJ35" i="5"/>
  <c r="AJ34" i="5"/>
  <c r="AJ33" i="5"/>
  <c r="AJ32" i="5"/>
  <c r="AJ31" i="5"/>
  <c r="AJ30" i="5"/>
  <c r="AJ29" i="5"/>
  <c r="AJ58" i="5"/>
  <c r="S12" i="7" l="1"/>
  <c r="BA92" i="5"/>
  <c r="S11" i="7"/>
  <c r="AY94" i="5"/>
  <c r="AY85" i="5"/>
  <c r="AZ85" i="5" s="1"/>
  <c r="AW71" i="5"/>
  <c r="AX71" i="5" s="1"/>
  <c r="AY71" i="5" s="1"/>
  <c r="AW70" i="5"/>
  <c r="AX70" i="5" s="1"/>
  <c r="AY70" i="5" s="1"/>
  <c r="AW69" i="5"/>
  <c r="AX69" i="5" s="1"/>
  <c r="AY69" i="5" s="1"/>
  <c r="AW68" i="5"/>
  <c r="AX68" i="5" s="1"/>
  <c r="AY68" i="5" s="1"/>
  <c r="AW67" i="5"/>
  <c r="AX67" i="5" s="1"/>
  <c r="AY67" i="5" s="1"/>
  <c r="AW66" i="5"/>
  <c r="AX66" i="5" s="1"/>
  <c r="AY66" i="5" s="1"/>
  <c r="AW65" i="5"/>
  <c r="AW64" i="5"/>
  <c r="AX64" i="5" s="1"/>
  <c r="AY64" i="5" s="1"/>
  <c r="AW63" i="5"/>
  <c r="AX63" i="5" s="1"/>
  <c r="AY63" i="5" s="1"/>
  <c r="AW62" i="5"/>
  <c r="AX62" i="5" s="1"/>
  <c r="AY62" i="5" s="1"/>
  <c r="AW61" i="5"/>
  <c r="AX61" i="5" s="1"/>
  <c r="AY61" i="5" s="1"/>
  <c r="AW60" i="5"/>
  <c r="AX60" i="5" s="1"/>
  <c r="AY60" i="5" s="1"/>
  <c r="AW59" i="5"/>
  <c r="AX59" i="5" s="1"/>
  <c r="AY59" i="5" s="1"/>
  <c r="AW58" i="5"/>
  <c r="AX58" i="5" s="1"/>
  <c r="AY58" i="5" s="1"/>
  <c r="AW57" i="5"/>
  <c r="AX57" i="5" s="1"/>
  <c r="AY57" i="5" s="1"/>
  <c r="AW56" i="5"/>
  <c r="AX56" i="5" s="1"/>
  <c r="AY56" i="5" s="1"/>
  <c r="AW55" i="5"/>
  <c r="AX55" i="5" s="1"/>
  <c r="AY55" i="5" s="1"/>
  <c r="AW54" i="5"/>
  <c r="AX54" i="5" s="1"/>
  <c r="AY54" i="5" s="1"/>
  <c r="AW53" i="5"/>
  <c r="AX53" i="5" s="1"/>
  <c r="AY53" i="5" s="1"/>
  <c r="AW52" i="5"/>
  <c r="AX52" i="5" s="1"/>
  <c r="AY52" i="5" s="1"/>
  <c r="AW51" i="5"/>
  <c r="AX51" i="5" s="1"/>
  <c r="AY51" i="5" s="1"/>
  <c r="AW50" i="5"/>
  <c r="AW49" i="5"/>
  <c r="AX49" i="5" s="1"/>
  <c r="AY49" i="5" s="1"/>
  <c r="AW48" i="5"/>
  <c r="AX48" i="5" s="1"/>
  <c r="AY48" i="5" s="1"/>
  <c r="AW47" i="5"/>
  <c r="AX47" i="5" s="1"/>
  <c r="AY47" i="5" s="1"/>
  <c r="AW46" i="5"/>
  <c r="AX46" i="5" s="1"/>
  <c r="AY46" i="5" s="1"/>
  <c r="AW45" i="5"/>
  <c r="AX45" i="5" s="1"/>
  <c r="AY45" i="5" s="1"/>
  <c r="AW44" i="5"/>
  <c r="AW43" i="5"/>
  <c r="AX43" i="5" s="1"/>
  <c r="AY43" i="5" s="1"/>
  <c r="AW42" i="5"/>
  <c r="AX42" i="5" s="1"/>
  <c r="AY42" i="5" s="1"/>
  <c r="AW41" i="5"/>
  <c r="AX41" i="5" s="1"/>
  <c r="AY41" i="5" s="1"/>
  <c r="AW39" i="5"/>
  <c r="AX39" i="5" s="1"/>
  <c r="AY39" i="5" s="1"/>
  <c r="AW37" i="5"/>
  <c r="AX37" i="5" s="1"/>
  <c r="AY37" i="5" s="1"/>
  <c r="AW36" i="5"/>
  <c r="AX36" i="5" s="1"/>
  <c r="AY36" i="5" s="1"/>
  <c r="AW35" i="5"/>
  <c r="AX35" i="5" s="1"/>
  <c r="AY35" i="5" s="1"/>
  <c r="AW34" i="5"/>
  <c r="AX34" i="5" s="1"/>
  <c r="AY34" i="5" s="1"/>
  <c r="AW33" i="5"/>
  <c r="AX33" i="5" s="1"/>
  <c r="AY33" i="5" s="1"/>
  <c r="AW32" i="5"/>
  <c r="AX32" i="5" s="1"/>
  <c r="AY32" i="5" s="1"/>
  <c r="AW31" i="5"/>
  <c r="AX31" i="5" s="1"/>
  <c r="AY31" i="5" s="1"/>
  <c r="AW30" i="5"/>
  <c r="AX30" i="5" s="1"/>
  <c r="AY30" i="5" s="1"/>
  <c r="AW29" i="5"/>
  <c r="AX29" i="5" s="1"/>
  <c r="AY29" i="5" s="1"/>
  <c r="AW28" i="5"/>
  <c r="AX28" i="5" s="1"/>
  <c r="Q22" i="8"/>
  <c r="R22" i="8"/>
  <c r="T22" i="8"/>
  <c r="Q21" i="8"/>
  <c r="BD37" i="5"/>
  <c r="BD36" i="5"/>
  <c r="BD35" i="5"/>
  <c r="BD34" i="5"/>
  <c r="BD33" i="5"/>
  <c r="BD32" i="5"/>
  <c r="BD31" i="5"/>
  <c r="AX103" i="5"/>
  <c r="AY103" i="5" s="1"/>
  <c r="AX102" i="5"/>
  <c r="AY102" i="5" s="1"/>
  <c r="AZ102" i="5" s="1"/>
  <c r="AX101" i="5"/>
  <c r="AY101" i="5" s="1"/>
  <c r="AX100" i="5"/>
  <c r="AY100" i="5" s="1"/>
  <c r="AX99" i="5"/>
  <c r="AY99" i="5" s="1"/>
  <c r="AX98" i="5"/>
  <c r="AY98" i="5" s="1"/>
  <c r="AX97" i="5"/>
  <c r="AY97" i="5" s="1"/>
  <c r="AX95" i="5"/>
  <c r="AY95" i="5" s="1"/>
  <c r="AX94" i="5"/>
  <c r="AX87" i="5"/>
  <c r="AY87" i="5" s="1"/>
  <c r="AX85" i="5"/>
  <c r="AX82" i="5"/>
  <c r="AY82" i="5" s="1"/>
  <c r="BA82" i="5" s="1"/>
  <c r="AX81" i="5"/>
  <c r="AY81" i="5" s="1"/>
  <c r="AX80" i="5"/>
  <c r="AY80" i="5" s="1"/>
  <c r="AX79" i="5"/>
  <c r="AY79" i="5" s="1"/>
  <c r="AZ79" i="5" s="1"/>
  <c r="AX78" i="5"/>
  <c r="AY78" i="5" s="1"/>
  <c r="AX77" i="5"/>
  <c r="AY77" i="5" s="1"/>
  <c r="AX76" i="5"/>
  <c r="AY76" i="5" s="1"/>
  <c r="AZ76" i="5" s="1"/>
  <c r="AX75" i="5"/>
  <c r="AY75" i="5" s="1"/>
  <c r="AX74" i="5"/>
  <c r="AY74" i="5" s="1"/>
  <c r="AX73" i="5"/>
  <c r="AY73" i="5" s="1"/>
  <c r="AZ73" i="5" s="1"/>
  <c r="AX72" i="5"/>
  <c r="AY72" i="5" s="1"/>
  <c r="AX65" i="5"/>
  <c r="AY65" i="5" s="1"/>
  <c r="AX50" i="5"/>
  <c r="AY50" i="5" s="1"/>
  <c r="AX44" i="5"/>
  <c r="AY44" i="5" s="1"/>
  <c r="BA28" i="5"/>
  <c r="BA2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6" i="5"/>
  <c r="BA5" i="5"/>
  <c r="BA4" i="5"/>
  <c r="J22" i="8"/>
  <c r="S5" i="6"/>
  <c r="AA79" i="5"/>
  <c r="AC79" i="5" s="1"/>
  <c r="AA73" i="5"/>
  <c r="AC73" i="5" s="1"/>
  <c r="S4" i="6"/>
  <c r="BG5" i="5"/>
  <c r="AH56" i="5" s="1"/>
  <c r="AI56" i="5" s="1"/>
  <c r="AK56" i="5" s="1"/>
  <c r="I65" i="6"/>
  <c r="Q62" i="6"/>
  <c r="I19" i="8"/>
  <c r="Q76" i="6"/>
  <c r="I76" i="6"/>
  <c r="J19" i="8"/>
  <c r="AA69" i="5"/>
  <c r="AC69" i="5" s="1"/>
  <c r="O60" i="6"/>
  <c r="K62" i="6"/>
  <c r="C16" i="8"/>
  <c r="AM71" i="5"/>
  <c r="AQ103" i="5"/>
  <c r="AR103" i="5" s="1"/>
  <c r="AT103" i="5" s="1"/>
  <c r="AQ102" i="5"/>
  <c r="AR102" i="5" s="1"/>
  <c r="AT102" i="5" s="1"/>
  <c r="AQ101" i="5"/>
  <c r="AR101" i="5" s="1"/>
  <c r="AS101" i="5" s="1"/>
  <c r="AQ100" i="5"/>
  <c r="AR100" i="5" s="1"/>
  <c r="AT100" i="5" s="1"/>
  <c r="AQ99" i="5"/>
  <c r="AR99" i="5" s="1"/>
  <c r="M12" i="7"/>
  <c r="M10" i="7"/>
  <c r="M8" i="7"/>
  <c r="AP71" i="5"/>
  <c r="AQ71" i="5" s="1"/>
  <c r="AR71" i="5" s="1"/>
  <c r="AT71" i="5" s="1"/>
  <c r="AI67" i="5"/>
  <c r="AK67" i="5" s="1"/>
  <c r="AM67" i="5" s="1"/>
  <c r="AP67" i="5"/>
  <c r="AQ67" i="5" s="1"/>
  <c r="AR67" i="5" s="1"/>
  <c r="AT67" i="5" s="1"/>
  <c r="AQ72" i="5"/>
  <c r="AR72" i="5" s="1"/>
  <c r="AQ79" i="5"/>
  <c r="AR79" i="5" s="1"/>
  <c r="AQ73" i="5"/>
  <c r="AR73" i="5" s="1"/>
  <c r="AT73" i="5" s="1"/>
  <c r="Q19" i="8"/>
  <c r="O20" i="8" s="1"/>
  <c r="AP48" i="5"/>
  <c r="AQ48" i="5" s="1"/>
  <c r="AR48" i="5" s="1"/>
  <c r="BD7" i="5"/>
  <c r="AM19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5"/>
  <c r="AM4" i="5"/>
  <c r="AM18" i="5"/>
  <c r="AI103" i="5"/>
  <c r="AK103" i="5" s="1"/>
  <c r="AM103" i="5" s="1"/>
  <c r="AI102" i="5"/>
  <c r="AK102" i="5" s="1"/>
  <c r="AI101" i="5"/>
  <c r="AK101" i="5" s="1"/>
  <c r="AM101" i="5" s="1"/>
  <c r="AI100" i="5"/>
  <c r="AK100" i="5" s="1"/>
  <c r="AM100" i="5" s="1"/>
  <c r="AI99" i="5"/>
  <c r="AK99" i="5" s="1"/>
  <c r="AM99" i="5" s="1"/>
  <c r="AI98" i="5"/>
  <c r="AK98" i="5" s="1"/>
  <c r="AM98" i="5" s="1"/>
  <c r="AI97" i="5"/>
  <c r="AK97" i="5" s="1"/>
  <c r="AM97" i="5" s="1"/>
  <c r="AI95" i="5"/>
  <c r="AK95" i="5" s="1"/>
  <c r="AM95" i="5" s="1"/>
  <c r="AI94" i="5"/>
  <c r="AK94" i="5" s="1"/>
  <c r="AM94" i="5" s="1"/>
  <c r="AI87" i="5"/>
  <c r="AK87" i="5" s="1"/>
  <c r="AM87" i="5" s="1"/>
  <c r="AI85" i="5"/>
  <c r="AK85" i="5" s="1"/>
  <c r="AM85" i="5" s="1"/>
  <c r="AI82" i="5"/>
  <c r="AK82" i="5" s="1"/>
  <c r="AM82" i="5" s="1"/>
  <c r="AI81" i="5"/>
  <c r="AK81" i="5" s="1"/>
  <c r="AM81" i="5" s="1"/>
  <c r="AI80" i="5"/>
  <c r="AK80" i="5" s="1"/>
  <c r="AL80" i="5" s="1"/>
  <c r="AI79" i="5"/>
  <c r="AK79" i="5" s="1"/>
  <c r="AM79" i="5" s="1"/>
  <c r="AI78" i="5"/>
  <c r="AK78" i="5" s="1"/>
  <c r="AM78" i="5" s="1"/>
  <c r="AI77" i="5"/>
  <c r="AK77" i="5" s="1"/>
  <c r="AM77" i="5" s="1"/>
  <c r="AI76" i="5"/>
  <c r="AK76" i="5" s="1"/>
  <c r="AL76" i="5" s="1"/>
  <c r="AI75" i="5"/>
  <c r="AK75" i="5" s="1"/>
  <c r="AM75" i="5" s="1"/>
  <c r="AI74" i="5"/>
  <c r="AK74" i="5" s="1"/>
  <c r="AL74" i="5" s="1"/>
  <c r="AI73" i="5"/>
  <c r="AK73" i="5" s="1"/>
  <c r="AM73" i="5" s="1"/>
  <c r="AI72" i="5"/>
  <c r="AK72" i="5" s="1"/>
  <c r="AM72" i="5" s="1"/>
  <c r="AI70" i="5"/>
  <c r="AK70" i="5" s="1"/>
  <c r="AM70" i="5" s="1"/>
  <c r="AI69" i="5"/>
  <c r="AK69" i="5" s="1"/>
  <c r="AM69" i="5" s="1"/>
  <c r="AI68" i="5"/>
  <c r="AK68" i="5" s="1"/>
  <c r="AM68" i="5" s="1"/>
  <c r="AI66" i="5"/>
  <c r="AK66" i="5" s="1"/>
  <c r="AM66" i="5" s="1"/>
  <c r="AI65" i="5"/>
  <c r="AK65" i="5" s="1"/>
  <c r="AM65" i="5" s="1"/>
  <c r="AI64" i="5"/>
  <c r="AK64" i="5" s="1"/>
  <c r="AM64" i="5" s="1"/>
  <c r="AI63" i="5"/>
  <c r="AK63" i="5" s="1"/>
  <c r="AL63" i="5" s="1"/>
  <c r="AI62" i="5"/>
  <c r="AK62" i="5" s="1"/>
  <c r="AM62" i="5" s="1"/>
  <c r="AI61" i="5"/>
  <c r="AK61" i="5" s="1"/>
  <c r="AM61" i="5" s="1"/>
  <c r="AI60" i="5"/>
  <c r="AK60" i="5" s="1"/>
  <c r="AM60" i="5" s="1"/>
  <c r="AB48" i="5"/>
  <c r="AA48" i="5"/>
  <c r="T37" i="5"/>
  <c r="U37" i="5" s="1"/>
  <c r="AA103" i="5"/>
  <c r="AC103" i="5" s="1"/>
  <c r="AP69" i="5"/>
  <c r="AQ69" i="5" s="1"/>
  <c r="AR69" i="5" s="1"/>
  <c r="AT69" i="5" s="1"/>
  <c r="BD10" i="5"/>
  <c r="BD9" i="5"/>
  <c r="BD8" i="5"/>
  <c r="BD19" i="5"/>
  <c r="AQ98" i="5"/>
  <c r="AR98" i="5" s="1"/>
  <c r="AQ97" i="5"/>
  <c r="AR97" i="5" s="1"/>
  <c r="AQ95" i="5"/>
  <c r="AR95" i="5" s="1"/>
  <c r="AQ94" i="5"/>
  <c r="AR94" i="5" s="1"/>
  <c r="AQ87" i="5"/>
  <c r="AR87" i="5" s="1"/>
  <c r="AQ85" i="5"/>
  <c r="AR85" i="5" s="1"/>
  <c r="AQ82" i="5"/>
  <c r="AR82" i="5" s="1"/>
  <c r="AQ81" i="5"/>
  <c r="AR81" i="5" s="1"/>
  <c r="AQ80" i="5"/>
  <c r="AR80" i="5" s="1"/>
  <c r="AQ78" i="5"/>
  <c r="AR78" i="5" s="1"/>
  <c r="AQ77" i="5"/>
  <c r="AR77" i="5" s="1"/>
  <c r="AQ76" i="5"/>
  <c r="AR76" i="5" s="1"/>
  <c r="AQ75" i="5"/>
  <c r="AR75" i="5" s="1"/>
  <c r="AQ74" i="5"/>
  <c r="AR74" i="5" s="1"/>
  <c r="AP70" i="5"/>
  <c r="AQ70" i="5" s="1"/>
  <c r="AR70" i="5" s="1"/>
  <c r="AP68" i="5"/>
  <c r="AQ68" i="5" s="1"/>
  <c r="AR68" i="5" s="1"/>
  <c r="AP66" i="5"/>
  <c r="AQ66" i="5" s="1"/>
  <c r="AR66" i="5" s="1"/>
  <c r="AP65" i="5"/>
  <c r="AQ65" i="5" s="1"/>
  <c r="AR65" i="5" s="1"/>
  <c r="AP64" i="5"/>
  <c r="AQ64" i="5" s="1"/>
  <c r="AR64" i="5" s="1"/>
  <c r="AP63" i="5"/>
  <c r="AQ63" i="5" s="1"/>
  <c r="AR63" i="5" s="1"/>
  <c r="AP62" i="5"/>
  <c r="AQ62" i="5" s="1"/>
  <c r="AR62" i="5" s="1"/>
  <c r="AP61" i="5"/>
  <c r="AQ61" i="5" s="1"/>
  <c r="AR61" i="5" s="1"/>
  <c r="AP60" i="5"/>
  <c r="AQ60" i="5" s="1"/>
  <c r="AR60" i="5" s="1"/>
  <c r="AP59" i="5"/>
  <c r="AQ59" i="5" s="1"/>
  <c r="AR59" i="5" s="1"/>
  <c r="AS59" i="5" s="1"/>
  <c r="AP58" i="5"/>
  <c r="AQ58" i="5" s="1"/>
  <c r="AR58" i="5" s="1"/>
  <c r="AP57" i="5"/>
  <c r="AQ57" i="5" s="1"/>
  <c r="AR57" i="5" s="1"/>
  <c r="AP56" i="5"/>
  <c r="AQ56" i="5" s="1"/>
  <c r="AR56" i="5" s="1"/>
  <c r="AP55" i="5"/>
  <c r="AQ55" i="5" s="1"/>
  <c r="AR55" i="5" s="1"/>
  <c r="AP54" i="5"/>
  <c r="AQ54" i="5" s="1"/>
  <c r="AR54" i="5" s="1"/>
  <c r="AP53" i="5"/>
  <c r="AQ53" i="5" s="1"/>
  <c r="AR53" i="5" s="1"/>
  <c r="AP52" i="5"/>
  <c r="AQ52" i="5" s="1"/>
  <c r="AR52" i="5" s="1"/>
  <c r="AP51" i="5"/>
  <c r="AQ51" i="5" s="1"/>
  <c r="AR51" i="5" s="1"/>
  <c r="AP50" i="5"/>
  <c r="AQ50" i="5" s="1"/>
  <c r="AR50" i="5" s="1"/>
  <c r="AP49" i="5"/>
  <c r="AQ49" i="5" s="1"/>
  <c r="AR49" i="5" s="1"/>
  <c r="AP47" i="5"/>
  <c r="AQ47" i="5" s="1"/>
  <c r="AR47" i="5" s="1"/>
  <c r="AP46" i="5"/>
  <c r="AQ46" i="5" s="1"/>
  <c r="AR46" i="5" s="1"/>
  <c r="AP45" i="5"/>
  <c r="AQ45" i="5" s="1"/>
  <c r="AR45" i="5" s="1"/>
  <c r="AP44" i="5"/>
  <c r="AQ44" i="5" s="1"/>
  <c r="AR44" i="5" s="1"/>
  <c r="AP43" i="5"/>
  <c r="AQ43" i="5" s="1"/>
  <c r="AR43" i="5" s="1"/>
  <c r="AP42" i="5"/>
  <c r="AQ42" i="5" s="1"/>
  <c r="AR42" i="5" s="1"/>
  <c r="AP41" i="5"/>
  <c r="AQ41" i="5" s="1"/>
  <c r="AR41" i="5" s="1"/>
  <c r="AP39" i="5"/>
  <c r="AQ39" i="5" s="1"/>
  <c r="AR39" i="5" s="1"/>
  <c r="AS39" i="5" s="1"/>
  <c r="AP37" i="5"/>
  <c r="AQ37" i="5" s="1"/>
  <c r="AR37" i="5" s="1"/>
  <c r="AP36" i="5"/>
  <c r="AQ36" i="5" s="1"/>
  <c r="AR36" i="5" s="1"/>
  <c r="AP35" i="5"/>
  <c r="AQ35" i="5" s="1"/>
  <c r="AR35" i="5" s="1"/>
  <c r="AP34" i="5"/>
  <c r="AQ34" i="5" s="1"/>
  <c r="AR34" i="5" s="1"/>
  <c r="AP33" i="5"/>
  <c r="AQ33" i="5" s="1"/>
  <c r="AR33" i="5" s="1"/>
  <c r="AP32" i="5"/>
  <c r="AQ32" i="5" s="1"/>
  <c r="AR32" i="5" s="1"/>
  <c r="AP31" i="5"/>
  <c r="AQ31" i="5" s="1"/>
  <c r="AR31" i="5" s="1"/>
  <c r="AP30" i="5"/>
  <c r="AQ30" i="5" s="1"/>
  <c r="AR30" i="5" s="1"/>
  <c r="AP29" i="5"/>
  <c r="AQ29" i="5" s="1"/>
  <c r="AR29" i="5" s="1"/>
  <c r="AT28" i="5"/>
  <c r="AP28" i="5"/>
  <c r="AQ28" i="5" s="1"/>
  <c r="AT27" i="5"/>
  <c r="AT26" i="5"/>
  <c r="AT25" i="5"/>
  <c r="AT24" i="5"/>
  <c r="AT23" i="5"/>
  <c r="BD22" i="5"/>
  <c r="AT22" i="5"/>
  <c r="BD21" i="5"/>
  <c r="AT21" i="5"/>
  <c r="BD20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T4" i="5"/>
  <c r="J43" i="8"/>
  <c r="I43" i="8"/>
  <c r="H43" i="8"/>
  <c r="J42" i="8"/>
  <c r="I42" i="8"/>
  <c r="H42" i="8"/>
  <c r="H41" i="8"/>
  <c r="I33" i="8"/>
  <c r="M32" i="8"/>
  <c r="L32" i="8"/>
  <c r="I32" i="8"/>
  <c r="M31" i="8"/>
  <c r="L31" i="8"/>
  <c r="I31" i="8"/>
  <c r="M30" i="8"/>
  <c r="L30" i="8"/>
  <c r="I30" i="8"/>
  <c r="M29" i="8"/>
  <c r="L29" i="8"/>
  <c r="I29" i="8"/>
  <c r="M28" i="8"/>
  <c r="L28" i="8"/>
  <c r="I28" i="8"/>
  <c r="M27" i="8"/>
  <c r="L27" i="8"/>
  <c r="I27" i="8"/>
  <c r="C22" i="8"/>
  <c r="O22" i="8"/>
  <c r="C21" i="8"/>
  <c r="Q20" i="8"/>
  <c r="C20" i="8"/>
  <c r="I18" i="8"/>
  <c r="J18" i="8" s="1"/>
  <c r="I16" i="8"/>
  <c r="J16" i="8" s="1"/>
  <c r="L8" i="7"/>
  <c r="J8" i="6"/>
  <c r="J20" i="6"/>
  <c r="N12" i="6"/>
  <c r="J19" i="6"/>
  <c r="K19" i="6" s="1"/>
  <c r="J59" i="6"/>
  <c r="K59" i="6" s="1"/>
  <c r="L59" i="6" s="1"/>
  <c r="I75" i="6"/>
  <c r="J75" i="6" s="1"/>
  <c r="L12" i="7"/>
  <c r="I73" i="6"/>
  <c r="C73" i="6"/>
  <c r="J62" i="6"/>
  <c r="J60" i="6"/>
  <c r="K60" i="6" s="1"/>
  <c r="L60" i="6" s="1"/>
  <c r="BA99" i="5" l="1"/>
  <c r="AZ99" i="5"/>
  <c r="BA36" i="5"/>
  <c r="BA56" i="5"/>
  <c r="BA68" i="5"/>
  <c r="BA30" i="5"/>
  <c r="BA50" i="5"/>
  <c r="BA79" i="5"/>
  <c r="BA102" i="5"/>
  <c r="BA85" i="5"/>
  <c r="AZ82" i="5"/>
  <c r="BA76" i="5"/>
  <c r="BA73" i="5"/>
  <c r="BA62" i="5"/>
  <c r="BA44" i="5"/>
  <c r="BA33" i="5"/>
  <c r="AZ33" i="5"/>
  <c r="AZ46" i="5"/>
  <c r="BA46" i="5"/>
  <c r="BA53" i="5"/>
  <c r="AZ53" i="5"/>
  <c r="AZ64" i="5"/>
  <c r="BA64" i="5"/>
  <c r="BA71" i="5"/>
  <c r="AZ71" i="5"/>
  <c r="BA75" i="5"/>
  <c r="AZ75" i="5"/>
  <c r="BA95" i="5"/>
  <c r="AZ95" i="5"/>
  <c r="BA34" i="5"/>
  <c r="AZ34" i="5"/>
  <c r="AZ37" i="5"/>
  <c r="BA37" i="5"/>
  <c r="BA43" i="5"/>
  <c r="AZ43" i="5"/>
  <c r="BA54" i="5"/>
  <c r="AZ54" i="5"/>
  <c r="BA57" i="5"/>
  <c r="AZ57" i="5"/>
  <c r="BA61" i="5"/>
  <c r="AZ61" i="5"/>
  <c r="BA72" i="5"/>
  <c r="AZ72" i="5"/>
  <c r="AZ39" i="5"/>
  <c r="BA39" i="5"/>
  <c r="BA47" i="5"/>
  <c r="AZ47" i="5"/>
  <c r="AZ58" i="5"/>
  <c r="BA58" i="5"/>
  <c r="BA65" i="5"/>
  <c r="AZ65" i="5"/>
  <c r="BA87" i="5"/>
  <c r="AZ87" i="5"/>
  <c r="BA103" i="5"/>
  <c r="AZ103" i="5"/>
  <c r="BA31" i="5"/>
  <c r="AZ31" i="5"/>
  <c r="BA35" i="5"/>
  <c r="AZ35" i="5"/>
  <c r="BA48" i="5"/>
  <c r="AZ48" i="5"/>
  <c r="AZ51" i="5"/>
  <c r="BA51" i="5"/>
  <c r="BA55" i="5"/>
  <c r="AZ55" i="5"/>
  <c r="BA66" i="5"/>
  <c r="AZ66" i="5"/>
  <c r="BA69" i="5"/>
  <c r="AZ69" i="5"/>
  <c r="BA80" i="5"/>
  <c r="AZ80" i="5"/>
  <c r="BA100" i="5"/>
  <c r="AZ100" i="5"/>
  <c r="AZ32" i="5"/>
  <c r="BA32" i="5"/>
  <c r="BA41" i="5"/>
  <c r="AZ41" i="5"/>
  <c r="AZ52" i="5"/>
  <c r="BA52" i="5"/>
  <c r="BA59" i="5"/>
  <c r="AZ59" i="5"/>
  <c r="AZ70" i="5"/>
  <c r="BA70" i="5"/>
  <c r="BA77" i="5"/>
  <c r="AZ77" i="5"/>
  <c r="BA81" i="5"/>
  <c r="AZ81" i="5"/>
  <c r="BA97" i="5"/>
  <c r="AZ97" i="5"/>
  <c r="BA101" i="5"/>
  <c r="AZ101" i="5"/>
  <c r="BA29" i="5"/>
  <c r="AZ29" i="5"/>
  <c r="BA42" i="5"/>
  <c r="AZ42" i="5"/>
  <c r="BA45" i="5"/>
  <c r="AZ45" i="5"/>
  <c r="BA49" i="5"/>
  <c r="AZ49" i="5"/>
  <c r="BA60" i="5"/>
  <c r="AZ60" i="5"/>
  <c r="BA63" i="5"/>
  <c r="AZ63" i="5"/>
  <c r="BA67" i="5"/>
  <c r="AZ67" i="5"/>
  <c r="BA74" i="5"/>
  <c r="AZ74" i="5"/>
  <c r="BA78" i="5"/>
  <c r="AZ78" i="5"/>
  <c r="BA94" i="5"/>
  <c r="AZ94" i="5"/>
  <c r="BA98" i="5"/>
  <c r="AZ98" i="5"/>
  <c r="AZ30" i="5"/>
  <c r="AZ36" i="5"/>
  <c r="AZ44" i="5"/>
  <c r="AZ50" i="5"/>
  <c r="AZ56" i="5"/>
  <c r="AZ62" i="5"/>
  <c r="AZ68" i="5"/>
  <c r="AH21" i="5"/>
  <c r="AI21" i="5" s="1"/>
  <c r="AK21" i="5" s="1"/>
  <c r="AM21" i="5" s="1"/>
  <c r="AH57" i="5"/>
  <c r="AI57" i="5" s="1"/>
  <c r="AT101" i="5"/>
  <c r="AH27" i="5"/>
  <c r="AI27" i="5" s="1"/>
  <c r="AK27" i="5" s="1"/>
  <c r="AM27" i="5" s="1"/>
  <c r="AM63" i="5"/>
  <c r="AH33" i="5"/>
  <c r="AI33" i="5" s="1"/>
  <c r="AH39" i="5"/>
  <c r="AI39" i="5" s="1"/>
  <c r="AK39" i="5" s="1"/>
  <c r="AM39" i="5" s="1"/>
  <c r="AH45" i="5"/>
  <c r="AI45" i="5" s="1"/>
  <c r="AH15" i="5"/>
  <c r="AI15" i="5" s="1"/>
  <c r="AH51" i="5"/>
  <c r="AI51" i="5" s="1"/>
  <c r="AT99" i="5"/>
  <c r="AS99" i="5"/>
  <c r="AH16" i="5"/>
  <c r="AI16" i="5" s="1"/>
  <c r="AH34" i="5"/>
  <c r="AI34" i="5" s="1"/>
  <c r="AH46" i="5"/>
  <c r="AI46" i="5" s="1"/>
  <c r="AH52" i="5"/>
  <c r="AI52" i="5" s="1"/>
  <c r="AM80" i="5"/>
  <c r="AH11" i="5"/>
  <c r="AI11" i="5" s="1"/>
  <c r="AH23" i="5"/>
  <c r="AI23" i="5" s="1"/>
  <c r="AK23" i="5" s="1"/>
  <c r="AM23" i="5" s="1"/>
  <c r="AH35" i="5"/>
  <c r="AI35" i="5" s="1"/>
  <c r="AH53" i="5"/>
  <c r="AI53" i="5" s="1"/>
  <c r="AH12" i="5"/>
  <c r="AI12" i="5" s="1"/>
  <c r="AH18" i="5"/>
  <c r="AI18" i="5" s="1"/>
  <c r="AH24" i="5"/>
  <c r="AI24" i="5" s="1"/>
  <c r="AK24" i="5" s="1"/>
  <c r="AM24" i="5" s="1"/>
  <c r="AH30" i="5"/>
  <c r="AI30" i="5" s="1"/>
  <c r="AH36" i="5"/>
  <c r="AI36" i="5" s="1"/>
  <c r="AH42" i="5"/>
  <c r="AI42" i="5" s="1"/>
  <c r="AH48" i="5"/>
  <c r="AI48" i="5" s="1"/>
  <c r="AH54" i="5"/>
  <c r="AI54" i="5" s="1"/>
  <c r="AH28" i="5"/>
  <c r="AI28" i="5" s="1"/>
  <c r="AK28" i="5" s="1"/>
  <c r="AM28" i="5" s="1"/>
  <c r="AH40" i="5"/>
  <c r="AI40" i="5" s="1"/>
  <c r="AH58" i="5"/>
  <c r="AI58" i="5" s="1"/>
  <c r="AM74" i="5"/>
  <c r="AH17" i="5"/>
  <c r="AI17" i="5" s="1"/>
  <c r="AH29" i="5"/>
  <c r="AI29" i="5" s="1"/>
  <c r="AH41" i="5"/>
  <c r="AI41" i="5" s="1"/>
  <c r="AH47" i="5"/>
  <c r="AI47" i="5" s="1"/>
  <c r="AH59" i="5"/>
  <c r="AI59" i="5" s="1"/>
  <c r="AM76" i="5"/>
  <c r="AH13" i="5"/>
  <c r="AI13" i="5" s="1"/>
  <c r="AH19" i="5"/>
  <c r="AI19" i="5" s="1"/>
  <c r="AH25" i="5"/>
  <c r="AI25" i="5" s="1"/>
  <c r="AK25" i="5" s="1"/>
  <c r="AM25" i="5" s="1"/>
  <c r="AH31" i="5"/>
  <c r="AI31" i="5" s="1"/>
  <c r="AH37" i="5"/>
  <c r="AI37" i="5" s="1"/>
  <c r="AH43" i="5"/>
  <c r="AI43" i="5" s="1"/>
  <c r="AH49" i="5"/>
  <c r="AI49" i="5" s="1"/>
  <c r="AH55" i="5"/>
  <c r="AI55" i="5" s="1"/>
  <c r="AH22" i="5"/>
  <c r="AI22" i="5" s="1"/>
  <c r="AK22" i="5" s="1"/>
  <c r="AM22" i="5" s="1"/>
  <c r="AH14" i="5"/>
  <c r="AI14" i="5" s="1"/>
  <c r="AH20" i="5"/>
  <c r="AI20" i="5" s="1"/>
  <c r="AK20" i="5" s="1"/>
  <c r="AM20" i="5" s="1"/>
  <c r="AH26" i="5"/>
  <c r="AI26" i="5" s="1"/>
  <c r="AK26" i="5" s="1"/>
  <c r="AM26" i="5" s="1"/>
  <c r="AH32" i="5"/>
  <c r="AI32" i="5" s="1"/>
  <c r="AH38" i="5"/>
  <c r="AH44" i="5"/>
  <c r="AI44" i="5" s="1"/>
  <c r="AH50" i="5"/>
  <c r="AI50" i="5" s="1"/>
  <c r="AE79" i="5"/>
  <c r="AD79" i="5"/>
  <c r="AD73" i="5"/>
  <c r="AE73" i="5"/>
  <c r="AE69" i="5"/>
  <c r="AD69" i="5"/>
  <c r="AL56" i="5"/>
  <c r="AM56" i="5"/>
  <c r="AL102" i="5"/>
  <c r="AM102" i="5"/>
  <c r="L62" i="6"/>
  <c r="D25" i="8"/>
  <c r="F16" i="8"/>
  <c r="K16" i="8" s="1"/>
  <c r="L16" i="8" s="1"/>
  <c r="H37" i="8"/>
  <c r="Q15" i="8"/>
  <c r="AS102" i="5"/>
  <c r="AT87" i="5"/>
  <c r="AS100" i="5"/>
  <c r="AS103" i="5"/>
  <c r="AS80" i="5"/>
  <c r="AS65" i="5"/>
  <c r="AS69" i="5"/>
  <c r="AS67" i="5"/>
  <c r="AS71" i="5"/>
  <c r="AL67" i="5"/>
  <c r="AL99" i="5"/>
  <c r="AL73" i="5"/>
  <c r="AL60" i="5"/>
  <c r="AL66" i="5"/>
  <c r="AL95" i="5"/>
  <c r="AL101" i="5"/>
  <c r="AL87" i="5"/>
  <c r="AL61" i="5"/>
  <c r="AL68" i="5"/>
  <c r="AL75" i="5"/>
  <c r="AL81" i="5"/>
  <c r="AL79" i="5"/>
  <c r="AL97" i="5"/>
  <c r="AC48" i="5"/>
  <c r="AE48" i="5" s="1"/>
  <c r="AL70" i="5"/>
  <c r="AL77" i="5"/>
  <c r="AL85" i="5"/>
  <c r="AT79" i="5"/>
  <c r="AS79" i="5"/>
  <c r="AS73" i="5"/>
  <c r="AT48" i="5"/>
  <c r="AS48" i="5"/>
  <c r="AL103" i="5"/>
  <c r="AL69" i="5"/>
  <c r="AL72" i="5"/>
  <c r="AL78" i="5"/>
  <c r="AL94" i="5"/>
  <c r="AL98" i="5"/>
  <c r="AL65" i="5"/>
  <c r="AL82" i="5"/>
  <c r="AL100" i="5"/>
  <c r="AL62" i="5"/>
  <c r="AL64" i="5"/>
  <c r="W37" i="5"/>
  <c r="V37" i="5"/>
  <c r="AD103" i="5"/>
  <c r="AE103" i="5"/>
  <c r="AT95" i="5"/>
  <c r="AS95" i="5"/>
  <c r="AT80" i="5"/>
  <c r="AS87" i="5"/>
  <c r="AS44" i="5"/>
  <c r="AT44" i="5"/>
  <c r="AS62" i="5"/>
  <c r="AT62" i="5"/>
  <c r="AS63" i="5"/>
  <c r="AT63" i="5"/>
  <c r="AS66" i="5"/>
  <c r="AT66" i="5"/>
  <c r="AS33" i="5"/>
  <c r="AT33" i="5"/>
  <c r="AS51" i="5"/>
  <c r="AT51" i="5"/>
  <c r="AT81" i="5"/>
  <c r="AS81" i="5"/>
  <c r="AS94" i="5"/>
  <c r="AT94" i="5"/>
  <c r="AS57" i="5"/>
  <c r="AT57" i="5"/>
  <c r="AS60" i="5"/>
  <c r="AT60" i="5"/>
  <c r="AS64" i="5"/>
  <c r="AT64" i="5"/>
  <c r="AS68" i="5"/>
  <c r="AT68" i="5"/>
  <c r="AS70" i="5"/>
  <c r="AT70" i="5"/>
  <c r="AS58" i="5"/>
  <c r="AT58" i="5"/>
  <c r="AS61" i="5"/>
  <c r="AT61" i="5"/>
  <c r="AT39" i="5"/>
  <c r="AT59" i="5"/>
  <c r="AT65" i="5"/>
  <c r="AT45" i="5"/>
  <c r="AS45" i="5"/>
  <c r="AT50" i="5"/>
  <c r="AS50" i="5"/>
  <c r="AT53" i="5"/>
  <c r="AS53" i="5"/>
  <c r="AT74" i="5"/>
  <c r="AS74" i="5"/>
  <c r="AT30" i="5"/>
  <c r="AS30" i="5"/>
  <c r="AT37" i="5"/>
  <c r="AS37" i="5"/>
  <c r="AT43" i="5"/>
  <c r="AS43" i="5"/>
  <c r="AT46" i="5"/>
  <c r="AS46" i="5"/>
  <c r="AT75" i="5"/>
  <c r="AS75" i="5"/>
  <c r="AT82" i="5"/>
  <c r="AS82" i="5"/>
  <c r="AT54" i="5"/>
  <c r="AS54" i="5"/>
  <c r="AT76" i="5"/>
  <c r="AS76" i="5"/>
  <c r="AT34" i="5"/>
  <c r="AS34" i="5"/>
  <c r="AT47" i="5"/>
  <c r="AS47" i="5"/>
  <c r="AT55" i="5"/>
  <c r="AS55" i="5"/>
  <c r="AT77" i="5"/>
  <c r="AS77" i="5"/>
  <c r="AT32" i="5"/>
  <c r="AS32" i="5"/>
  <c r="AT35" i="5"/>
  <c r="AS35" i="5"/>
  <c r="AT41" i="5"/>
  <c r="AS41" i="5"/>
  <c r="AT49" i="5"/>
  <c r="AS49" i="5"/>
  <c r="AT78" i="5"/>
  <c r="AS78" i="5"/>
  <c r="AT97" i="5"/>
  <c r="AS97" i="5"/>
  <c r="AT29" i="5"/>
  <c r="AS29" i="5"/>
  <c r="AS42" i="5"/>
  <c r="AT42" i="5"/>
  <c r="AT52" i="5"/>
  <c r="AS52" i="5"/>
  <c r="AT56" i="5"/>
  <c r="AS56" i="5"/>
  <c r="AT72" i="5"/>
  <c r="AS72" i="5"/>
  <c r="AS85" i="5"/>
  <c r="AT85" i="5"/>
  <c r="AT36" i="5"/>
  <c r="AS36" i="5"/>
  <c r="AT31" i="5"/>
  <c r="AS31" i="5"/>
  <c r="AS98" i="5"/>
  <c r="AT98" i="5"/>
  <c r="R20" i="8"/>
  <c r="T20" i="8" s="1"/>
  <c r="R21" i="8"/>
  <c r="T21" i="8" s="1"/>
  <c r="O21" i="8"/>
  <c r="J76" i="6"/>
  <c r="J73" i="6"/>
  <c r="D82" i="6"/>
  <c r="L46" i="6"/>
  <c r="D58" i="6"/>
  <c r="L9" i="7"/>
  <c r="M6" i="7"/>
  <c r="C91" i="6"/>
  <c r="C90" i="6"/>
  <c r="C89" i="6"/>
  <c r="C88" i="6"/>
  <c r="M7" i="7"/>
  <c r="L6" i="7"/>
  <c r="L10" i="7"/>
  <c r="M12" i="6"/>
  <c r="J5" i="6"/>
  <c r="K5" i="6" s="1"/>
  <c r="K20" i="6"/>
  <c r="T88" i="6"/>
  <c r="R88" i="6"/>
  <c r="Q88" i="6"/>
  <c r="O88" i="6"/>
  <c r="M11" i="7"/>
  <c r="L11" i="7"/>
  <c r="L7" i="7"/>
  <c r="M9" i="7"/>
  <c r="AB32" i="5"/>
  <c r="AA32" i="5"/>
  <c r="K8" i="6"/>
  <c r="H17" i="6"/>
  <c r="J17" i="6" s="1"/>
  <c r="K17" i="6" s="1"/>
  <c r="F41" i="6"/>
  <c r="F15" i="6"/>
  <c r="J32" i="6"/>
  <c r="K32" i="6" s="1"/>
  <c r="AB37" i="5"/>
  <c r="AA37" i="5"/>
  <c r="M38" i="5"/>
  <c r="N38" i="5" s="1"/>
  <c r="T38" i="5"/>
  <c r="U38" i="5" s="1"/>
  <c r="M40" i="5"/>
  <c r="N40" i="5" s="1"/>
  <c r="AA40" i="5"/>
  <c r="AB40" i="5"/>
  <c r="R61" i="6"/>
  <c r="T61" i="6" s="1"/>
  <c r="R60" i="6"/>
  <c r="R59" i="6"/>
  <c r="D59" i="6"/>
  <c r="M88" i="6"/>
  <c r="O62" i="6"/>
  <c r="AB31" i="5"/>
  <c r="AB29" i="5"/>
  <c r="AB33" i="5"/>
  <c r="AB34" i="5"/>
  <c r="AB42" i="5"/>
  <c r="D60" i="6"/>
  <c r="O61" i="6"/>
  <c r="O59" i="6"/>
  <c r="D61" i="6"/>
  <c r="R58" i="6"/>
  <c r="L88" i="6"/>
  <c r="AB30" i="5"/>
  <c r="AB35" i="5"/>
  <c r="AB36" i="5"/>
  <c r="AB39" i="5"/>
  <c r="AB41" i="5"/>
  <c r="AB43" i="5"/>
  <c r="AB44" i="5"/>
  <c r="AB45" i="5"/>
  <c r="AB46" i="5"/>
  <c r="AB47" i="5"/>
  <c r="AB49" i="5"/>
  <c r="AB50" i="5"/>
  <c r="AB51" i="5"/>
  <c r="AB52" i="5"/>
  <c r="AB53" i="5"/>
  <c r="AB54" i="5"/>
  <c r="AB55" i="5"/>
  <c r="AB56" i="5"/>
  <c r="AB57" i="5"/>
  <c r="AB58" i="5"/>
  <c r="F28" i="6"/>
  <c r="AA61" i="5"/>
  <c r="AC61" i="5" s="1"/>
  <c r="T61" i="5"/>
  <c r="U61" i="5" s="1"/>
  <c r="M61" i="5"/>
  <c r="N61" i="5" s="1"/>
  <c r="AA62" i="5"/>
  <c r="AC62" i="5" s="1"/>
  <c r="T62" i="5"/>
  <c r="U62" i="5" s="1"/>
  <c r="M62" i="5"/>
  <c r="N62" i="5" s="1"/>
  <c r="T103" i="5"/>
  <c r="U103" i="5" s="1"/>
  <c r="M103" i="5"/>
  <c r="N103" i="5" s="1"/>
  <c r="O103" i="5" s="1"/>
  <c r="G103" i="5"/>
  <c r="AA102" i="5"/>
  <c r="AC102" i="5" s="1"/>
  <c r="T102" i="5"/>
  <c r="U102" i="5" s="1"/>
  <c r="W102" i="5" s="1"/>
  <c r="M102" i="5"/>
  <c r="N102" i="5" s="1"/>
  <c r="G102" i="5"/>
  <c r="AA101" i="5"/>
  <c r="AC101" i="5" s="1"/>
  <c r="T101" i="5"/>
  <c r="U101" i="5" s="1"/>
  <c r="V101" i="5" s="1"/>
  <c r="M101" i="5"/>
  <c r="N101" i="5" s="1"/>
  <c r="G101" i="5"/>
  <c r="AA100" i="5"/>
  <c r="AC100" i="5" s="1"/>
  <c r="T100" i="5"/>
  <c r="U100" i="5" s="1"/>
  <c r="W100" i="5" s="1"/>
  <c r="M100" i="5"/>
  <c r="N100" i="5" s="1"/>
  <c r="O100" i="5" s="1"/>
  <c r="G100" i="5"/>
  <c r="AA99" i="5"/>
  <c r="AC99" i="5" s="1"/>
  <c r="T99" i="5"/>
  <c r="U99" i="5" s="1"/>
  <c r="M99" i="5"/>
  <c r="N99" i="5" s="1"/>
  <c r="O99" i="5" s="1"/>
  <c r="G99" i="5"/>
  <c r="AA98" i="5"/>
  <c r="AC98" i="5" s="1"/>
  <c r="AE98" i="5" s="1"/>
  <c r="T98" i="5"/>
  <c r="U98" i="5" s="1"/>
  <c r="W98" i="5" s="1"/>
  <c r="M98" i="5"/>
  <c r="N98" i="5" s="1"/>
  <c r="P98" i="5" s="1"/>
  <c r="G98" i="5"/>
  <c r="AA97" i="5"/>
  <c r="AC97" i="5" s="1"/>
  <c r="T97" i="5"/>
  <c r="U97" i="5" s="1"/>
  <c r="M97" i="5"/>
  <c r="N97" i="5" s="1"/>
  <c r="O97" i="5" s="1"/>
  <c r="G97" i="5"/>
  <c r="AA95" i="5"/>
  <c r="AC95" i="5" s="1"/>
  <c r="T95" i="5"/>
  <c r="U95" i="5" s="1"/>
  <c r="V95" i="5" s="1"/>
  <c r="M95" i="5"/>
  <c r="N95" i="5" s="1"/>
  <c r="G95" i="5"/>
  <c r="AA94" i="5"/>
  <c r="AC94" i="5" s="1"/>
  <c r="T94" i="5"/>
  <c r="U94" i="5" s="1"/>
  <c r="V94" i="5" s="1"/>
  <c r="M94" i="5"/>
  <c r="N94" i="5" s="1"/>
  <c r="G94" i="5"/>
  <c r="I93" i="5"/>
  <c r="I91" i="5"/>
  <c r="I90" i="5"/>
  <c r="I88" i="5"/>
  <c r="AA87" i="5"/>
  <c r="AC87" i="5" s="1"/>
  <c r="T87" i="5"/>
  <c r="U87" i="5" s="1"/>
  <c r="M87" i="5"/>
  <c r="N87" i="5" s="1"/>
  <c r="G87" i="5"/>
  <c r="I86" i="5"/>
  <c r="AA85" i="5"/>
  <c r="AC85" i="5" s="1"/>
  <c r="T85" i="5"/>
  <c r="U85" i="5" s="1"/>
  <c r="V85" i="5" s="1"/>
  <c r="M85" i="5"/>
  <c r="N85" i="5" s="1"/>
  <c r="G85" i="5"/>
  <c r="I84" i="5"/>
  <c r="I83" i="5"/>
  <c r="AA82" i="5"/>
  <c r="AC82" i="5" s="1"/>
  <c r="AE82" i="5" s="1"/>
  <c r="T82" i="5"/>
  <c r="U82" i="5" s="1"/>
  <c r="M82" i="5"/>
  <c r="N82" i="5" s="1"/>
  <c r="P82" i="5" s="1"/>
  <c r="AA81" i="5"/>
  <c r="AC81" i="5" s="1"/>
  <c r="T81" i="5"/>
  <c r="U81" i="5" s="1"/>
  <c r="V81" i="5" s="1"/>
  <c r="M81" i="5"/>
  <c r="N81" i="5" s="1"/>
  <c r="P81" i="5" s="1"/>
  <c r="AA80" i="5"/>
  <c r="AC80" i="5" s="1"/>
  <c r="T80" i="5"/>
  <c r="U80" i="5" s="1"/>
  <c r="M80" i="5"/>
  <c r="N80" i="5" s="1"/>
  <c r="AA78" i="5"/>
  <c r="AC78" i="5" s="1"/>
  <c r="T78" i="5"/>
  <c r="U78" i="5" s="1"/>
  <c r="W78" i="5" s="1"/>
  <c r="M78" i="5"/>
  <c r="N78" i="5" s="1"/>
  <c r="O78" i="5" s="1"/>
  <c r="AA77" i="5"/>
  <c r="AC77" i="5" s="1"/>
  <c r="T77" i="5"/>
  <c r="U77" i="5" s="1"/>
  <c r="M77" i="5"/>
  <c r="N77" i="5" s="1"/>
  <c r="AA76" i="5"/>
  <c r="AC76" i="5" s="1"/>
  <c r="T76" i="5"/>
  <c r="U76" i="5" s="1"/>
  <c r="V76" i="5" s="1"/>
  <c r="M76" i="5"/>
  <c r="N76" i="5" s="1"/>
  <c r="AA75" i="5"/>
  <c r="AC75" i="5" s="1"/>
  <c r="T75" i="5"/>
  <c r="U75" i="5" s="1"/>
  <c r="W75" i="5" s="1"/>
  <c r="M75" i="5"/>
  <c r="N75" i="5" s="1"/>
  <c r="O75" i="5" s="1"/>
  <c r="AA74" i="5"/>
  <c r="AC74" i="5" s="1"/>
  <c r="AE74" i="5" s="1"/>
  <c r="T74" i="5"/>
  <c r="U74" i="5" s="1"/>
  <c r="V74" i="5" s="1"/>
  <c r="M74" i="5"/>
  <c r="N74" i="5" s="1"/>
  <c r="AA72" i="5"/>
  <c r="AC72" i="5" s="1"/>
  <c r="T72" i="5"/>
  <c r="U72" i="5" s="1"/>
  <c r="V72" i="5" s="1"/>
  <c r="M72" i="5"/>
  <c r="N72" i="5" s="1"/>
  <c r="O72" i="5" s="1"/>
  <c r="AA70" i="5"/>
  <c r="AC70" i="5" s="1"/>
  <c r="T70" i="5"/>
  <c r="U70" i="5" s="1"/>
  <c r="M70" i="5"/>
  <c r="N70" i="5" s="1"/>
  <c r="O70" i="5" s="1"/>
  <c r="AA68" i="5"/>
  <c r="AC68" i="5" s="1"/>
  <c r="T68" i="5"/>
  <c r="U68" i="5" s="1"/>
  <c r="V68" i="5" s="1"/>
  <c r="M68" i="5"/>
  <c r="N68" i="5" s="1"/>
  <c r="P68" i="5" s="1"/>
  <c r="AA66" i="5"/>
  <c r="AC66" i="5" s="1"/>
  <c r="T66" i="5"/>
  <c r="U66" i="5" s="1"/>
  <c r="V66" i="5" s="1"/>
  <c r="M66" i="5"/>
  <c r="N66" i="5" s="1"/>
  <c r="O66" i="5" s="1"/>
  <c r="AA65" i="5"/>
  <c r="AC65" i="5" s="1"/>
  <c r="T65" i="5"/>
  <c r="U65" i="5" s="1"/>
  <c r="W65" i="5" s="1"/>
  <c r="M65" i="5"/>
  <c r="N65" i="5" s="1"/>
  <c r="O65" i="5" s="1"/>
  <c r="AA64" i="5"/>
  <c r="AC64" i="5" s="1"/>
  <c r="T64" i="5"/>
  <c r="U64" i="5" s="1"/>
  <c r="V64" i="5" s="1"/>
  <c r="M64" i="5"/>
  <c r="N64" i="5" s="1"/>
  <c r="P64" i="5" s="1"/>
  <c r="AA63" i="5"/>
  <c r="AC63" i="5" s="1"/>
  <c r="T63" i="5"/>
  <c r="U63" i="5" s="1"/>
  <c r="W63" i="5" s="1"/>
  <c r="M63" i="5"/>
  <c r="N63" i="5" s="1"/>
  <c r="O63" i="5" s="1"/>
  <c r="AA60" i="5"/>
  <c r="AC60" i="5" s="1"/>
  <c r="T60" i="5"/>
  <c r="U60" i="5" s="1"/>
  <c r="M60" i="5"/>
  <c r="N60" i="5" s="1"/>
  <c r="P60" i="5" s="1"/>
  <c r="AA59" i="5"/>
  <c r="AC59" i="5" s="1"/>
  <c r="T59" i="5"/>
  <c r="U59" i="5" s="1"/>
  <c r="M59" i="5"/>
  <c r="N59" i="5" s="1"/>
  <c r="AA58" i="5"/>
  <c r="AC58" i="5" s="1"/>
  <c r="T58" i="5"/>
  <c r="U58" i="5" s="1"/>
  <c r="M58" i="5"/>
  <c r="N58" i="5" s="1"/>
  <c r="AA57" i="5"/>
  <c r="T57" i="5"/>
  <c r="U57" i="5" s="1"/>
  <c r="W57" i="5" s="1"/>
  <c r="M57" i="5"/>
  <c r="N57" i="5" s="1"/>
  <c r="P57" i="5" s="1"/>
  <c r="AA56" i="5"/>
  <c r="T56" i="5"/>
  <c r="U56" i="5" s="1"/>
  <c r="M56" i="5"/>
  <c r="N56" i="5" s="1"/>
  <c r="AA55" i="5"/>
  <c r="T55" i="5"/>
  <c r="U55" i="5" s="1"/>
  <c r="M55" i="5"/>
  <c r="N55" i="5" s="1"/>
  <c r="AA54" i="5"/>
  <c r="T54" i="5"/>
  <c r="U54" i="5" s="1"/>
  <c r="M54" i="5"/>
  <c r="N54" i="5" s="1"/>
  <c r="O54" i="5" s="1"/>
  <c r="AA53" i="5"/>
  <c r="T53" i="5"/>
  <c r="U53" i="5" s="1"/>
  <c r="M53" i="5"/>
  <c r="N53" i="5" s="1"/>
  <c r="O53" i="5" s="1"/>
  <c r="AA52" i="5"/>
  <c r="T52" i="5"/>
  <c r="U52" i="5" s="1"/>
  <c r="M52" i="5"/>
  <c r="N52" i="5" s="1"/>
  <c r="O52" i="5" s="1"/>
  <c r="AA51" i="5"/>
  <c r="T51" i="5"/>
  <c r="U51" i="5" s="1"/>
  <c r="M51" i="5"/>
  <c r="N51" i="5" s="1"/>
  <c r="AA50" i="5"/>
  <c r="T50" i="5"/>
  <c r="U50" i="5" s="1"/>
  <c r="W50" i="5" s="1"/>
  <c r="M50" i="5"/>
  <c r="N50" i="5" s="1"/>
  <c r="O50" i="5" s="1"/>
  <c r="AA49" i="5"/>
  <c r="T49" i="5"/>
  <c r="U49" i="5" s="1"/>
  <c r="W49" i="5" s="1"/>
  <c r="M49" i="5"/>
  <c r="N49" i="5" s="1"/>
  <c r="AA47" i="5"/>
  <c r="T47" i="5"/>
  <c r="U47" i="5" s="1"/>
  <c r="M47" i="5"/>
  <c r="N47" i="5" s="1"/>
  <c r="AA46" i="5"/>
  <c r="T46" i="5"/>
  <c r="U46" i="5" s="1"/>
  <c r="M46" i="5"/>
  <c r="N46" i="5" s="1"/>
  <c r="P46" i="5" s="1"/>
  <c r="AA45" i="5"/>
  <c r="T45" i="5"/>
  <c r="U45" i="5" s="1"/>
  <c r="M45" i="5"/>
  <c r="N45" i="5" s="1"/>
  <c r="AA44" i="5"/>
  <c r="T44" i="5"/>
  <c r="U44" i="5" s="1"/>
  <c r="V44" i="5" s="1"/>
  <c r="M44" i="5"/>
  <c r="N44" i="5" s="1"/>
  <c r="AA43" i="5"/>
  <c r="T43" i="5"/>
  <c r="U43" i="5" s="1"/>
  <c r="M43" i="5"/>
  <c r="N43" i="5" s="1"/>
  <c r="P43" i="5" s="1"/>
  <c r="AA42" i="5"/>
  <c r="T42" i="5"/>
  <c r="U42" i="5" s="1"/>
  <c r="M42" i="5"/>
  <c r="N42" i="5" s="1"/>
  <c r="O42" i="5" s="1"/>
  <c r="AA41" i="5"/>
  <c r="T41" i="5"/>
  <c r="U41" i="5" s="1"/>
  <c r="M41" i="5"/>
  <c r="N41" i="5" s="1"/>
  <c r="P41" i="5" s="1"/>
  <c r="AA39" i="5"/>
  <c r="T39" i="5"/>
  <c r="U39" i="5" s="1"/>
  <c r="M39" i="5"/>
  <c r="N39" i="5" s="1"/>
  <c r="AA36" i="5"/>
  <c r="T36" i="5"/>
  <c r="U36" i="5" s="1"/>
  <c r="V36" i="5" s="1"/>
  <c r="M36" i="5"/>
  <c r="N36" i="5" s="1"/>
  <c r="P36" i="5" s="1"/>
  <c r="AA35" i="5"/>
  <c r="T35" i="5"/>
  <c r="U35" i="5" s="1"/>
  <c r="M35" i="5"/>
  <c r="N35" i="5" s="1"/>
  <c r="P35" i="5" s="1"/>
  <c r="AA34" i="5"/>
  <c r="T34" i="5"/>
  <c r="U34" i="5" s="1"/>
  <c r="M34" i="5"/>
  <c r="N34" i="5" s="1"/>
  <c r="AA33" i="5"/>
  <c r="T33" i="5"/>
  <c r="U33" i="5" s="1"/>
  <c r="M33" i="5"/>
  <c r="N33" i="5" s="1"/>
  <c r="O33" i="5" s="1"/>
  <c r="AA31" i="5"/>
  <c r="T31" i="5"/>
  <c r="U31" i="5" s="1"/>
  <c r="M31" i="5"/>
  <c r="N31" i="5" s="1"/>
  <c r="P31" i="5" s="1"/>
  <c r="AA30" i="5"/>
  <c r="T30" i="5"/>
  <c r="U30" i="5" s="1"/>
  <c r="V30" i="5" s="1"/>
  <c r="M30" i="5"/>
  <c r="N30" i="5" s="1"/>
  <c r="AA29" i="5"/>
  <c r="T29" i="5"/>
  <c r="U29" i="5" s="1"/>
  <c r="M29" i="5"/>
  <c r="N29" i="5" s="1"/>
  <c r="AA28" i="5"/>
  <c r="AC28" i="5" s="1"/>
  <c r="AE28" i="5" s="1"/>
  <c r="T28" i="5"/>
  <c r="U28" i="5" s="1"/>
  <c r="W28" i="5" s="1"/>
  <c r="M28" i="5"/>
  <c r="N28" i="5" s="1"/>
  <c r="AA27" i="5"/>
  <c r="T27" i="5"/>
  <c r="U27" i="5" s="1"/>
  <c r="M27" i="5"/>
  <c r="N27" i="5" s="1"/>
  <c r="AA26" i="5"/>
  <c r="T26" i="5"/>
  <c r="U26" i="5" s="1"/>
  <c r="V26" i="5" s="1"/>
  <c r="M26" i="5"/>
  <c r="N26" i="5" s="1"/>
  <c r="AA25" i="5"/>
  <c r="T25" i="5"/>
  <c r="U25" i="5" s="1"/>
  <c r="M25" i="5"/>
  <c r="N25" i="5" s="1"/>
  <c r="P25" i="5" s="1"/>
  <c r="AA24" i="5"/>
  <c r="T24" i="5"/>
  <c r="U24" i="5" s="1"/>
  <c r="M24" i="5"/>
  <c r="N24" i="5" s="1"/>
  <c r="AA23" i="5"/>
  <c r="T23" i="5"/>
  <c r="U23" i="5" s="1"/>
  <c r="W23" i="5" s="1"/>
  <c r="M23" i="5"/>
  <c r="N23" i="5" s="1"/>
  <c r="AA22" i="5"/>
  <c r="T22" i="5"/>
  <c r="U22" i="5" s="1"/>
  <c r="M22" i="5"/>
  <c r="N22" i="5" s="1"/>
  <c r="O22" i="5" s="1"/>
  <c r="AA21" i="5"/>
  <c r="T21" i="5"/>
  <c r="U21" i="5" s="1"/>
  <c r="M21" i="5"/>
  <c r="N21" i="5" s="1"/>
  <c r="AA20" i="5"/>
  <c r="T20" i="5"/>
  <c r="U20" i="5" s="1"/>
  <c r="V20" i="5" s="1"/>
  <c r="M20" i="5"/>
  <c r="N20" i="5" s="1"/>
  <c r="AA19" i="5"/>
  <c r="T19" i="5"/>
  <c r="U19" i="5" s="1"/>
  <c r="M19" i="5"/>
  <c r="N19" i="5" s="1"/>
  <c r="P19" i="5" s="1"/>
  <c r="AA18" i="5"/>
  <c r="T18" i="5"/>
  <c r="U18" i="5" s="1"/>
  <c r="M18" i="5"/>
  <c r="N18" i="5" s="1"/>
  <c r="AA17" i="5"/>
  <c r="T17" i="5"/>
  <c r="U17" i="5" s="1"/>
  <c r="W17" i="5" s="1"/>
  <c r="M17" i="5"/>
  <c r="N17" i="5" s="1"/>
  <c r="F17" i="5"/>
  <c r="AE16" i="5"/>
  <c r="AA16" i="5"/>
  <c r="T16" i="5"/>
  <c r="U16" i="5" s="1"/>
  <c r="M16" i="5"/>
  <c r="N16" i="5" s="1"/>
  <c r="AE15" i="5"/>
  <c r="AA15" i="5"/>
  <c r="T15" i="5"/>
  <c r="U15" i="5" s="1"/>
  <c r="M15" i="5"/>
  <c r="N15" i="5" s="1"/>
  <c r="AE14" i="5"/>
  <c r="AA14" i="5"/>
  <c r="T14" i="5"/>
  <c r="U14" i="5" s="1"/>
  <c r="M14" i="5"/>
  <c r="N14" i="5" s="1"/>
  <c r="AE13" i="5"/>
  <c r="AA13" i="5"/>
  <c r="T13" i="5"/>
  <c r="U13" i="5" s="1"/>
  <c r="M13" i="5"/>
  <c r="N13" i="5" s="1"/>
  <c r="AE12" i="5"/>
  <c r="AA12" i="5"/>
  <c r="T12" i="5"/>
  <c r="U12" i="5" s="1"/>
  <c r="M12" i="5"/>
  <c r="N12" i="5" s="1"/>
  <c r="AE11" i="5"/>
  <c r="AA11" i="5"/>
  <c r="T11" i="5"/>
  <c r="U11" i="5" s="1"/>
  <c r="M11" i="5"/>
  <c r="N11" i="5" s="1"/>
  <c r="AE10" i="5"/>
  <c r="AA10" i="5"/>
  <c r="T10" i="5"/>
  <c r="U10" i="5" s="1"/>
  <c r="M10" i="5"/>
  <c r="N10" i="5" s="1"/>
  <c r="AE9" i="5"/>
  <c r="AA9" i="5"/>
  <c r="T9" i="5"/>
  <c r="U9" i="5" s="1"/>
  <c r="M9" i="5"/>
  <c r="N9" i="5" s="1"/>
  <c r="AE8" i="5"/>
  <c r="AA8" i="5"/>
  <c r="T8" i="5"/>
  <c r="U8" i="5" s="1"/>
  <c r="M8" i="5"/>
  <c r="N8" i="5" s="1"/>
  <c r="AE7" i="5"/>
  <c r="AA7" i="5"/>
  <c r="W7" i="5"/>
  <c r="T7" i="5"/>
  <c r="M7" i="5"/>
  <c r="N7" i="5" s="1"/>
  <c r="AE6" i="5"/>
  <c r="AA6" i="5"/>
  <c r="W6" i="5"/>
  <c r="T6" i="5"/>
  <c r="P6" i="5"/>
  <c r="M6" i="5"/>
  <c r="N6" i="5" s="1"/>
  <c r="O6" i="5" s="1"/>
  <c r="AE5" i="5"/>
  <c r="AA5" i="5"/>
  <c r="W5" i="5"/>
  <c r="T5" i="5"/>
  <c r="P5" i="5"/>
  <c r="M5" i="5"/>
  <c r="F5" i="5"/>
  <c r="AE4" i="5"/>
  <c r="W4" i="5"/>
  <c r="P4" i="5"/>
  <c r="AL39" i="5" l="1"/>
  <c r="AK50" i="5"/>
  <c r="AL50" i="5" s="1"/>
  <c r="AI93" i="5"/>
  <c r="AK93" i="5" s="1"/>
  <c r="AM93" i="5" s="1"/>
  <c r="AX93" i="5"/>
  <c r="AY93" i="5" s="1"/>
  <c r="AZ93" i="5" s="1"/>
  <c r="AK55" i="5"/>
  <c r="AL55" i="5" s="1"/>
  <c r="AK29" i="5"/>
  <c r="AL29" i="5" s="1"/>
  <c r="AK54" i="5"/>
  <c r="AL54" i="5" s="1"/>
  <c r="AI91" i="5"/>
  <c r="AK91" i="5" s="1"/>
  <c r="AM91" i="5" s="1"/>
  <c r="AX91" i="5"/>
  <c r="AY91" i="5" s="1"/>
  <c r="AZ91" i="5" s="1"/>
  <c r="AK47" i="5"/>
  <c r="AL47" i="5" s="1"/>
  <c r="AM30" i="5"/>
  <c r="AK30" i="5"/>
  <c r="AL30" i="5" s="1"/>
  <c r="AK33" i="5"/>
  <c r="AL33" i="5" s="1"/>
  <c r="AK32" i="5"/>
  <c r="AL32" i="5" s="1"/>
  <c r="AK49" i="5"/>
  <c r="AL49" i="5" s="1"/>
  <c r="AK48" i="5"/>
  <c r="AM48" i="5" s="1"/>
  <c r="AK52" i="5"/>
  <c r="AL52" i="5" s="1"/>
  <c r="AK51" i="5"/>
  <c r="AM51" i="5" s="1"/>
  <c r="AI84" i="5"/>
  <c r="AK84" i="5" s="1"/>
  <c r="AL84" i="5" s="1"/>
  <c r="AX84" i="5"/>
  <c r="AY84" i="5" s="1"/>
  <c r="AZ84" i="5" s="1"/>
  <c r="AK31" i="5"/>
  <c r="AL31" i="5" s="1"/>
  <c r="AK40" i="5"/>
  <c r="AL40" i="5" s="1"/>
  <c r="AK44" i="5"/>
  <c r="AM44" i="5" s="1"/>
  <c r="AK41" i="5"/>
  <c r="AL41" i="5" s="1"/>
  <c r="AI88" i="5"/>
  <c r="AK88" i="5" s="1"/>
  <c r="AM88" i="5" s="1"/>
  <c r="AX88" i="5"/>
  <c r="AY88" i="5" s="1"/>
  <c r="AZ88" i="5" s="1"/>
  <c r="AK43" i="5"/>
  <c r="AM43" i="5" s="1"/>
  <c r="AK42" i="5"/>
  <c r="AM42" i="5" s="1"/>
  <c r="AK53" i="5"/>
  <c r="AL53" i="5" s="1"/>
  <c r="AK46" i="5"/>
  <c r="AL46" i="5" s="1"/>
  <c r="AI83" i="5"/>
  <c r="AK83" i="5" s="1"/>
  <c r="AM83" i="5" s="1"/>
  <c r="AX83" i="5"/>
  <c r="AY83" i="5" s="1"/>
  <c r="AZ83" i="5" s="1"/>
  <c r="AI86" i="5"/>
  <c r="AK86" i="5" s="1"/>
  <c r="AM86" i="5" s="1"/>
  <c r="AX86" i="5"/>
  <c r="AY86" i="5" s="1"/>
  <c r="AZ86" i="5" s="1"/>
  <c r="AI90" i="5"/>
  <c r="AK90" i="5" s="1"/>
  <c r="AM90" i="5" s="1"/>
  <c r="AX90" i="5"/>
  <c r="AZ90" i="5" s="1"/>
  <c r="AK37" i="5"/>
  <c r="AM37" i="5" s="1"/>
  <c r="AK59" i="5"/>
  <c r="AM59" i="5" s="1"/>
  <c r="AK58" i="5"/>
  <c r="AM58" i="5" s="1"/>
  <c r="AK36" i="5"/>
  <c r="AM36" i="5" s="1"/>
  <c r="AK35" i="5"/>
  <c r="AL35" i="5" s="1"/>
  <c r="AK34" i="5"/>
  <c r="AM34" i="5" s="1"/>
  <c r="AK45" i="5"/>
  <c r="AL45" i="5" s="1"/>
  <c r="AK57" i="5"/>
  <c r="AM57" i="5" s="1"/>
  <c r="AM41" i="5"/>
  <c r="D18" i="8"/>
  <c r="D17" i="8"/>
  <c r="C18" i="8" s="1"/>
  <c r="D16" i="8"/>
  <c r="C17" i="8" s="1"/>
  <c r="R15" i="8"/>
  <c r="O16" i="8"/>
  <c r="AE72" i="5"/>
  <c r="AD77" i="5"/>
  <c r="AE76" i="5"/>
  <c r="AE102" i="5"/>
  <c r="AD48" i="5"/>
  <c r="AL91" i="5"/>
  <c r="AQ84" i="5"/>
  <c r="AQ91" i="5"/>
  <c r="AQ88" i="5"/>
  <c r="AQ90" i="5"/>
  <c r="AQ93" i="5"/>
  <c r="AQ83" i="5"/>
  <c r="AD64" i="5"/>
  <c r="AD59" i="5"/>
  <c r="AD63" i="5"/>
  <c r="AD68" i="5"/>
  <c r="AD80" i="5"/>
  <c r="AQ86" i="5"/>
  <c r="AE94" i="5"/>
  <c r="AE100" i="5"/>
  <c r="AD66" i="5"/>
  <c r="AA93" i="5"/>
  <c r="AC93" i="5" s="1"/>
  <c r="AD93" i="5" s="1"/>
  <c r="T88" i="5"/>
  <c r="U88" i="5" s="1"/>
  <c r="V88" i="5" s="1"/>
  <c r="M86" i="5"/>
  <c r="N86" i="5" s="1"/>
  <c r="O86" i="5" s="1"/>
  <c r="AA84" i="5"/>
  <c r="AC84" i="5" s="1"/>
  <c r="AD84" i="5" s="1"/>
  <c r="AA91" i="5"/>
  <c r="AC91" i="5" s="1"/>
  <c r="AD91" i="5" s="1"/>
  <c r="AC37" i="5"/>
  <c r="F19" i="8"/>
  <c r="K19" i="8" s="1"/>
  <c r="L19" i="8" s="1"/>
  <c r="F18" i="8"/>
  <c r="K18" i="8" s="1"/>
  <c r="F17" i="8"/>
  <c r="I38" i="8"/>
  <c r="J38" i="8"/>
  <c r="J36" i="8"/>
  <c r="H39" i="8"/>
  <c r="Q17" i="8"/>
  <c r="I39" i="8"/>
  <c r="I40" i="8"/>
  <c r="J40" i="8"/>
  <c r="AC32" i="5"/>
  <c r="D73" i="6"/>
  <c r="C74" i="6" s="1"/>
  <c r="D75" i="6"/>
  <c r="C76" i="6" s="1"/>
  <c r="D74" i="6"/>
  <c r="C75" i="6" s="1"/>
  <c r="J48" i="6"/>
  <c r="J46" i="6"/>
  <c r="K46" i="6" s="1"/>
  <c r="K42" i="6" s="1"/>
  <c r="T60" i="6"/>
  <c r="V38" i="5"/>
  <c r="W38" i="5"/>
  <c r="P38" i="5"/>
  <c r="O38" i="5"/>
  <c r="AC43" i="5"/>
  <c r="AE43" i="5" s="1"/>
  <c r="AC20" i="5"/>
  <c r="AE20" i="5" s="1"/>
  <c r="O40" i="5"/>
  <c r="P40" i="5"/>
  <c r="AC40" i="5"/>
  <c r="Q72" i="6"/>
  <c r="C77" i="6"/>
  <c r="O77" i="6"/>
  <c r="Q77" i="6"/>
  <c r="C78" i="6"/>
  <c r="L8" i="6"/>
  <c r="O62" i="5"/>
  <c r="P62" i="5"/>
  <c r="C59" i="6"/>
  <c r="C60" i="6"/>
  <c r="T59" i="6"/>
  <c r="AC57" i="5"/>
  <c r="AE57" i="5" s="1"/>
  <c r="AC56" i="5"/>
  <c r="AE56" i="5" s="1"/>
  <c r="AC54" i="5"/>
  <c r="AC41" i="5"/>
  <c r="AD41" i="5" s="1"/>
  <c r="AE61" i="5"/>
  <c r="AD61" i="5"/>
  <c r="W61" i="5"/>
  <c r="V61" i="5"/>
  <c r="P61" i="5"/>
  <c r="O61" i="5"/>
  <c r="AC11" i="5"/>
  <c r="AC49" i="5"/>
  <c r="AC52" i="5"/>
  <c r="AE62" i="5"/>
  <c r="AD62" i="5"/>
  <c r="W62" i="5"/>
  <c r="V62" i="5"/>
  <c r="AC8" i="5"/>
  <c r="AC14" i="5"/>
  <c r="AC18" i="5"/>
  <c r="AE18" i="5" s="1"/>
  <c r="AC21" i="5"/>
  <c r="AE21" i="5" s="1"/>
  <c r="AC24" i="5"/>
  <c r="AE24" i="5" s="1"/>
  <c r="AC27" i="5"/>
  <c r="AE27" i="5" s="1"/>
  <c r="AC46" i="5"/>
  <c r="AE46" i="5" s="1"/>
  <c r="AC51" i="5"/>
  <c r="AD51" i="5" s="1"/>
  <c r="M93" i="5"/>
  <c r="N93" i="5" s="1"/>
  <c r="O93" i="5" s="1"/>
  <c r="AC42" i="5"/>
  <c r="AE42" i="5" s="1"/>
  <c r="AC53" i="5"/>
  <c r="W76" i="5"/>
  <c r="V63" i="5"/>
  <c r="W72" i="5"/>
  <c r="AC47" i="5"/>
  <c r="AD47" i="5" s="1"/>
  <c r="P99" i="5"/>
  <c r="O56" i="5"/>
  <c r="P56" i="5"/>
  <c r="W60" i="5"/>
  <c r="V60" i="5"/>
  <c r="P47" i="5"/>
  <c r="O47" i="5"/>
  <c r="AC23" i="5"/>
  <c r="AE23" i="5" s="1"/>
  <c r="AC30" i="5"/>
  <c r="AC39" i="5"/>
  <c r="AD39" i="5" s="1"/>
  <c r="O60" i="5"/>
  <c r="AD82" i="5"/>
  <c r="T91" i="5"/>
  <c r="U91" i="5" s="1"/>
  <c r="V91" i="5" s="1"/>
  <c r="AC17" i="5"/>
  <c r="AE17" i="5" s="1"/>
  <c r="AC26" i="5"/>
  <c r="AE26" i="5" s="1"/>
  <c r="AC29" i="5"/>
  <c r="AD29" i="5" s="1"/>
  <c r="AC34" i="5"/>
  <c r="AD34" i="5" s="1"/>
  <c r="O41" i="5"/>
  <c r="AC55" i="5"/>
  <c r="P70" i="5"/>
  <c r="P75" i="5"/>
  <c r="P100" i="5"/>
  <c r="V28" i="5"/>
  <c r="AD72" i="5"/>
  <c r="AD76" i="5"/>
  <c r="P78" i="5"/>
  <c r="W39" i="5"/>
  <c r="AE80" i="5"/>
  <c r="T84" i="5"/>
  <c r="U84" i="5" s="1"/>
  <c r="V84" i="5" s="1"/>
  <c r="T93" i="5"/>
  <c r="U93" i="5" s="1"/>
  <c r="W93" i="5" s="1"/>
  <c r="W94" i="5"/>
  <c r="P55" i="5"/>
  <c r="O55" i="5"/>
  <c r="V19" i="5"/>
  <c r="W19" i="5"/>
  <c r="O24" i="5"/>
  <c r="P24" i="5"/>
  <c r="O34" i="5"/>
  <c r="P34" i="5"/>
  <c r="AE60" i="5"/>
  <c r="AD60" i="5"/>
  <c r="AD97" i="5"/>
  <c r="AE97" i="5"/>
  <c r="V45" i="5"/>
  <c r="W45" i="5"/>
  <c r="P58" i="5"/>
  <c r="O58" i="5"/>
  <c r="O18" i="5"/>
  <c r="P18" i="5"/>
  <c r="V22" i="5"/>
  <c r="W22" i="5"/>
  <c r="O27" i="5"/>
  <c r="P27" i="5"/>
  <c r="V31" i="5"/>
  <c r="AD87" i="5"/>
  <c r="AE87" i="5"/>
  <c r="O30" i="5"/>
  <c r="P30" i="5"/>
  <c r="P59" i="5"/>
  <c r="O59" i="5"/>
  <c r="W70" i="5"/>
  <c r="V70" i="5"/>
  <c r="P77" i="5"/>
  <c r="O77" i="5"/>
  <c r="AE78" i="5"/>
  <c r="AD78" i="5"/>
  <c r="O21" i="5"/>
  <c r="P21" i="5"/>
  <c r="V25" i="5"/>
  <c r="W25" i="5"/>
  <c r="V59" i="5"/>
  <c r="W59" i="5"/>
  <c r="AE65" i="5"/>
  <c r="AD65" i="5"/>
  <c r="AE101" i="5"/>
  <c r="AD101" i="5"/>
  <c r="W99" i="5"/>
  <c r="V99" i="5"/>
  <c r="AC36" i="5"/>
  <c r="P42" i="5"/>
  <c r="W64" i="5"/>
  <c r="AE66" i="5"/>
  <c r="V98" i="5"/>
  <c r="AC10" i="5"/>
  <c r="AC13" i="5"/>
  <c r="AC16" i="5"/>
  <c r="AC44" i="5"/>
  <c r="AC50" i="5"/>
  <c r="AC9" i="5"/>
  <c r="AC12" i="5"/>
  <c r="AC15" i="5"/>
  <c r="AC19" i="5"/>
  <c r="AE19" i="5" s="1"/>
  <c r="AC22" i="5"/>
  <c r="AE22" i="5" s="1"/>
  <c r="AC25" i="5"/>
  <c r="AE25" i="5" s="1"/>
  <c r="AC31" i="5"/>
  <c r="AC35" i="5"/>
  <c r="AD35" i="5" s="1"/>
  <c r="O46" i="5"/>
  <c r="P53" i="5"/>
  <c r="P54" i="5"/>
  <c r="O57" i="5"/>
  <c r="AE64" i="5"/>
  <c r="O68" i="5"/>
  <c r="AD74" i="5"/>
  <c r="V78" i="5"/>
  <c r="AD94" i="5"/>
  <c r="W95" i="5"/>
  <c r="O98" i="5"/>
  <c r="AE68" i="5"/>
  <c r="W74" i="5"/>
  <c r="W66" i="5"/>
  <c r="W81" i="5"/>
  <c r="AD102" i="5"/>
  <c r="O12" i="5"/>
  <c r="P12" i="5"/>
  <c r="W12" i="5"/>
  <c r="V12" i="5"/>
  <c r="W15" i="5"/>
  <c r="V15" i="5"/>
  <c r="O45" i="5"/>
  <c r="P45" i="5"/>
  <c r="P11" i="5"/>
  <c r="O11" i="5"/>
  <c r="W46" i="5"/>
  <c r="V46" i="5"/>
  <c r="P10" i="5"/>
  <c r="O10" i="5"/>
  <c r="P13" i="5"/>
  <c r="O13" i="5"/>
  <c r="O16" i="5"/>
  <c r="P16" i="5"/>
  <c r="P28" i="5"/>
  <c r="O28" i="5"/>
  <c r="V29" i="5"/>
  <c r="W29" i="5"/>
  <c r="P49" i="5"/>
  <c r="O49" i="5"/>
  <c r="V10" i="5"/>
  <c r="W10" i="5"/>
  <c r="V13" i="5"/>
  <c r="W13" i="5"/>
  <c r="W16" i="5"/>
  <c r="V16" i="5"/>
  <c r="W33" i="5"/>
  <c r="V33" i="5"/>
  <c r="V34" i="5"/>
  <c r="W34" i="5"/>
  <c r="O9" i="5"/>
  <c r="P9" i="5"/>
  <c r="P15" i="5"/>
  <c r="O15" i="5"/>
  <c r="P39" i="5"/>
  <c r="O39" i="5"/>
  <c r="O76" i="5"/>
  <c r="P76" i="5"/>
  <c r="V87" i="5"/>
  <c r="W87" i="5"/>
  <c r="W9" i="5"/>
  <c r="V9" i="5"/>
  <c r="P7" i="5"/>
  <c r="O7" i="5"/>
  <c r="W41" i="5"/>
  <c r="V41" i="5"/>
  <c r="P51" i="5"/>
  <c r="O51" i="5"/>
  <c r="P8" i="5"/>
  <c r="O8" i="5"/>
  <c r="P14" i="5"/>
  <c r="O14" i="5"/>
  <c r="W35" i="5"/>
  <c r="V35" i="5"/>
  <c r="V54" i="5"/>
  <c r="W54" i="5"/>
  <c r="W8" i="5"/>
  <c r="V8" i="5"/>
  <c r="W11" i="5"/>
  <c r="V11" i="5"/>
  <c r="W14" i="5"/>
  <c r="V14" i="5"/>
  <c r="O17" i="5"/>
  <c r="P17" i="5"/>
  <c r="W18" i="5"/>
  <c r="V18" i="5"/>
  <c r="O20" i="5"/>
  <c r="P20" i="5"/>
  <c r="W21" i="5"/>
  <c r="V21" i="5"/>
  <c r="O23" i="5"/>
  <c r="P23" i="5"/>
  <c r="W24" i="5"/>
  <c r="V24" i="5"/>
  <c r="O26" i="5"/>
  <c r="P26" i="5"/>
  <c r="W27" i="5"/>
  <c r="V27" i="5"/>
  <c r="P29" i="5"/>
  <c r="O29" i="5"/>
  <c r="P44" i="5"/>
  <c r="O44" i="5"/>
  <c r="V55" i="5"/>
  <c r="W55" i="5"/>
  <c r="V17" i="5"/>
  <c r="O36" i="5"/>
  <c r="W31" i="5"/>
  <c r="P33" i="5"/>
  <c r="O35" i="5"/>
  <c r="V39" i="5"/>
  <c r="W43" i="5"/>
  <c r="W44" i="5"/>
  <c r="P52" i="5"/>
  <c r="P63" i="5"/>
  <c r="V65" i="5"/>
  <c r="P72" i="5"/>
  <c r="AE75" i="5"/>
  <c r="AD75" i="5"/>
  <c r="AE81" i="5"/>
  <c r="AD81" i="5"/>
  <c r="O85" i="5"/>
  <c r="P85" i="5"/>
  <c r="V47" i="5"/>
  <c r="W52" i="5"/>
  <c r="W53" i="5"/>
  <c r="V53" i="5"/>
  <c r="V56" i="5"/>
  <c r="V58" i="5"/>
  <c r="W58" i="5"/>
  <c r="W80" i="5"/>
  <c r="V80" i="5"/>
  <c r="O94" i="5"/>
  <c r="P94" i="5"/>
  <c r="O95" i="5"/>
  <c r="P95" i="5"/>
  <c r="W97" i="5"/>
  <c r="V97" i="5"/>
  <c r="P102" i="5"/>
  <c r="O102" i="5"/>
  <c r="V23" i="5"/>
  <c r="O25" i="5"/>
  <c r="O31" i="5"/>
  <c r="W42" i="5"/>
  <c r="O43" i="5"/>
  <c r="W47" i="5"/>
  <c r="P50" i="5"/>
  <c r="V52" i="5"/>
  <c r="W56" i="5"/>
  <c r="AE59" i="5"/>
  <c r="O64" i="5"/>
  <c r="V75" i="5"/>
  <c r="O81" i="5"/>
  <c r="O82" i="5"/>
  <c r="W85" i="5"/>
  <c r="W101" i="5"/>
  <c r="P103" i="5"/>
  <c r="O19" i="5"/>
  <c r="V51" i="5"/>
  <c r="W20" i="5"/>
  <c r="P22" i="5"/>
  <c r="W26" i="5"/>
  <c r="W30" i="5"/>
  <c r="AC33" i="5"/>
  <c r="V42" i="5"/>
  <c r="W51" i="5"/>
  <c r="P65" i="5"/>
  <c r="W68" i="5"/>
  <c r="AE70" i="5"/>
  <c r="AD70" i="5"/>
  <c r="AE77" i="5"/>
  <c r="AD100" i="5"/>
  <c r="V102" i="5"/>
  <c r="W36" i="5"/>
  <c r="AC45" i="5"/>
  <c r="V49" i="5"/>
  <c r="V50" i="5"/>
  <c r="W77" i="5"/>
  <c r="V77" i="5"/>
  <c r="V43" i="5"/>
  <c r="V57" i="5"/>
  <c r="AE58" i="5"/>
  <c r="AD58" i="5"/>
  <c r="AE63" i="5"/>
  <c r="P66" i="5"/>
  <c r="P74" i="5"/>
  <c r="O74" i="5"/>
  <c r="AE85" i="5"/>
  <c r="AD85" i="5"/>
  <c r="P97" i="5"/>
  <c r="AA86" i="5"/>
  <c r="AC86" i="5" s="1"/>
  <c r="T86" i="5"/>
  <c r="U86" i="5" s="1"/>
  <c r="P87" i="5"/>
  <c r="O87" i="5"/>
  <c r="AA88" i="5"/>
  <c r="AC88" i="5" s="1"/>
  <c r="M88" i="5"/>
  <c r="N88" i="5" s="1"/>
  <c r="AE99" i="5"/>
  <c r="AD99" i="5"/>
  <c r="P80" i="5"/>
  <c r="O80" i="5"/>
  <c r="W82" i="5"/>
  <c r="V82" i="5"/>
  <c r="AE95" i="5"/>
  <c r="AD95" i="5"/>
  <c r="W103" i="5"/>
  <c r="V103" i="5"/>
  <c r="O101" i="5"/>
  <c r="P101" i="5"/>
  <c r="AA83" i="5"/>
  <c r="AC83" i="5" s="1"/>
  <c r="T83" i="5"/>
  <c r="U83" i="5" s="1"/>
  <c r="V83" i="5" s="1"/>
  <c r="AA90" i="5"/>
  <c r="AC90" i="5" s="1"/>
  <c r="T90" i="5"/>
  <c r="U90" i="5" s="1"/>
  <c r="V90" i="5" s="1"/>
  <c r="M83" i="5"/>
  <c r="N83" i="5" s="1"/>
  <c r="O83" i="5" s="1"/>
  <c r="M84" i="5"/>
  <c r="N84" i="5" s="1"/>
  <c r="O84" i="5" s="1"/>
  <c r="M90" i="5"/>
  <c r="N90" i="5" s="1"/>
  <c r="O90" i="5" s="1"/>
  <c r="M91" i="5"/>
  <c r="N91" i="5" s="1"/>
  <c r="O91" i="5" s="1"/>
  <c r="AD98" i="5"/>
  <c r="V100" i="5"/>
  <c r="AL43" i="5" l="1"/>
  <c r="AL57" i="5"/>
  <c r="BA91" i="5"/>
  <c r="AL37" i="5"/>
  <c r="AM84" i="5"/>
  <c r="AM54" i="5"/>
  <c r="AM47" i="5"/>
  <c r="AL88" i="5"/>
  <c r="AL42" i="5"/>
  <c r="AM53" i="5"/>
  <c r="AL83" i="5"/>
  <c r="AM55" i="5"/>
  <c r="AM49" i="5"/>
  <c r="AM45" i="5"/>
  <c r="AL51" i="5"/>
  <c r="AM32" i="5"/>
  <c r="AL59" i="5"/>
  <c r="AL36" i="5"/>
  <c r="AM40" i="5"/>
  <c r="BA86" i="5"/>
  <c r="AL86" i="5"/>
  <c r="AL48" i="5"/>
  <c r="AM31" i="5"/>
  <c r="AM46" i="5"/>
  <c r="AL34" i="5"/>
  <c r="AM29" i="5"/>
  <c r="AM52" i="5"/>
  <c r="AL44" i="5"/>
  <c r="AM33" i="5"/>
  <c r="BA90" i="5"/>
  <c r="AL93" i="5"/>
  <c r="AM50" i="5"/>
  <c r="AM35" i="5"/>
  <c r="BA88" i="5"/>
  <c r="BA93" i="5"/>
  <c r="BA83" i="5"/>
  <c r="AL58" i="5"/>
  <c r="AL90" i="5"/>
  <c r="BA84" i="5"/>
  <c r="Q16" i="8"/>
  <c r="F21" i="8"/>
  <c r="J39" i="8"/>
  <c r="F20" i="8"/>
  <c r="F22" i="8"/>
  <c r="K22" i="8" s="1"/>
  <c r="L22" i="8" s="1"/>
  <c r="C19" i="8"/>
  <c r="Q18" i="8"/>
  <c r="H40" i="8"/>
  <c r="J41" i="8"/>
  <c r="I41" i="8"/>
  <c r="AR90" i="5"/>
  <c r="AS90" i="5" s="1"/>
  <c r="AR88" i="5"/>
  <c r="AS88" i="5" s="1"/>
  <c r="AR91" i="5"/>
  <c r="AR84" i="5"/>
  <c r="AS84" i="5" s="1"/>
  <c r="AR83" i="5"/>
  <c r="AR86" i="5"/>
  <c r="AR93" i="5"/>
  <c r="AS93" i="5" s="1"/>
  <c r="AD32" i="5"/>
  <c r="AE32" i="5"/>
  <c r="AD37" i="5"/>
  <c r="AE37" i="5"/>
  <c r="W88" i="5"/>
  <c r="AD88" i="5"/>
  <c r="P86" i="5"/>
  <c r="AD57" i="5"/>
  <c r="AD86" i="5"/>
  <c r="AE93" i="5"/>
  <c r="AE41" i="5"/>
  <c r="AE91" i="5"/>
  <c r="AE84" i="5"/>
  <c r="AD46" i="5"/>
  <c r="R17" i="8"/>
  <c r="T17" i="8" s="1"/>
  <c r="O18" i="8"/>
  <c r="R18" i="8"/>
  <c r="T18" i="8" s="1"/>
  <c r="O17" i="8"/>
  <c r="R16" i="8"/>
  <c r="AD56" i="5"/>
  <c r="K48" i="6"/>
  <c r="K49" i="6" s="1"/>
  <c r="K73" i="6"/>
  <c r="L73" i="6" s="1"/>
  <c r="AE49" i="5"/>
  <c r="AD49" i="5"/>
  <c r="AD52" i="5"/>
  <c r="AE52" i="5"/>
  <c r="AE40" i="5"/>
  <c r="AD40" i="5"/>
  <c r="AD55" i="5"/>
  <c r="AE55" i="5"/>
  <c r="AD36" i="5"/>
  <c r="AE36" i="5"/>
  <c r="R72" i="6"/>
  <c r="O73" i="6"/>
  <c r="K75" i="6"/>
  <c r="Q73" i="6"/>
  <c r="Q74" i="6"/>
  <c r="Q75" i="6"/>
  <c r="R62" i="6"/>
  <c r="T62" i="6" s="1"/>
  <c r="R77" i="6"/>
  <c r="T77" i="6" s="1"/>
  <c r="O78" i="6"/>
  <c r="Q78" i="6"/>
  <c r="C79" i="6"/>
  <c r="AE54" i="5"/>
  <c r="AD54" i="5"/>
  <c r="AD53" i="5"/>
  <c r="AE53" i="5"/>
  <c r="C61" i="6"/>
  <c r="C62" i="6"/>
  <c r="AE30" i="5"/>
  <c r="AD44" i="5"/>
  <c r="AE44" i="5"/>
  <c r="AE50" i="5"/>
  <c r="AD50" i="5"/>
  <c r="AE31" i="5"/>
  <c r="AD31" i="5"/>
  <c r="AE29" i="5"/>
  <c r="AE51" i="5"/>
  <c r="AE47" i="5"/>
  <c r="AE35" i="5"/>
  <c r="AE39" i="5"/>
  <c r="AE34" i="5"/>
  <c r="P90" i="5"/>
  <c r="W91" i="5"/>
  <c r="V93" i="5"/>
  <c r="W84" i="5"/>
  <c r="AD42" i="5"/>
  <c r="P93" i="5"/>
  <c r="AD43" i="5"/>
  <c r="W90" i="5"/>
  <c r="AD30" i="5"/>
  <c r="AE88" i="5"/>
  <c r="P91" i="5"/>
  <c r="P83" i="5"/>
  <c r="O88" i="5"/>
  <c r="P88" i="5"/>
  <c r="AE86" i="5"/>
  <c r="AD90" i="5"/>
  <c r="AE90" i="5"/>
  <c r="P84" i="5"/>
  <c r="W86" i="5"/>
  <c r="V86" i="5"/>
  <c r="AD83" i="5"/>
  <c r="AE83" i="5"/>
  <c r="AE45" i="5"/>
  <c r="AD45" i="5"/>
  <c r="AD33" i="5"/>
  <c r="AE33" i="5"/>
  <c r="W83" i="5"/>
  <c r="AT88" i="5" l="1"/>
  <c r="AT84" i="5"/>
  <c r="AT93" i="5"/>
  <c r="AT90" i="5"/>
  <c r="O19" i="8"/>
  <c r="R19" i="8"/>
  <c r="T19" i="8" s="1"/>
  <c r="AT83" i="5"/>
  <c r="AS83" i="5"/>
  <c r="AT86" i="5"/>
  <c r="AS86" i="5"/>
  <c r="AS91" i="5"/>
  <c r="AT91" i="5"/>
  <c r="T16" i="8"/>
  <c r="T24" i="8" s="1"/>
  <c r="T64" i="6"/>
  <c r="K76" i="6"/>
  <c r="L76" i="6" s="1"/>
  <c r="O75" i="6"/>
  <c r="R74" i="6"/>
  <c r="R76" i="6"/>
  <c r="T76" i="6" s="1"/>
  <c r="R75" i="6"/>
  <c r="T75" i="6" s="1"/>
  <c r="O76" i="6"/>
  <c r="O74" i="6"/>
  <c r="R73" i="6"/>
  <c r="O79" i="6"/>
  <c r="R78" i="6"/>
  <c r="T78" i="6" s="1"/>
  <c r="T74" i="6" l="1"/>
  <c r="T73" i="6"/>
  <c r="T81" i="6" l="1"/>
  <c r="M96" i="5"/>
  <c r="N96" i="5" s="1"/>
  <c r="AA96" i="5"/>
  <c r="AC96" i="5" s="1"/>
  <c r="AI96" i="5"/>
  <c r="AK96" i="5" s="1"/>
  <c r="AQ96" i="5"/>
  <c r="AR96" i="5" s="1"/>
  <c r="T96" i="5"/>
  <c r="U96" i="5" s="1"/>
  <c r="AX96" i="5"/>
  <c r="AY96" i="5" s="1"/>
  <c r="G96" i="5"/>
  <c r="W96" i="5" l="1"/>
  <c r="V96" i="5"/>
  <c r="AM96" i="5"/>
  <c r="AL96" i="5"/>
  <c r="AZ96" i="5"/>
  <c r="BA96" i="5"/>
  <c r="AD96" i="5"/>
  <c r="AE96" i="5"/>
  <c r="P96" i="5"/>
  <c r="O96" i="5"/>
  <c r="AT96" i="5"/>
  <c r="AS9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tc={E37CC654-E6C1-4153-B440-ED3B62CF097E}</author>
  </authors>
  <commentList>
    <comment ref="J8" authorId="0" shapeId="0" xr:uid="{E37CC654-E6C1-4153-B440-ED3B62CF097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ok</t>
      </text>
    </comment>
  </commentList>
</comments>
</file>

<file path=xl/sharedStrings.xml><?xml version="1.0" encoding="utf-8"?>
<sst xmlns="http://schemas.openxmlformats.org/spreadsheetml/2006/main" count="500" uniqueCount="181">
  <si>
    <t>Até</t>
  </si>
  <si>
    <t>de; a</t>
  </si>
  <si>
    <t>Alíquota (%)</t>
  </si>
  <si>
    <t>Parcela a deduzir do IR (R$)</t>
  </si>
  <si>
    <t>-</t>
  </si>
  <si>
    <t>Para rendimentos maiores que 2.824,00:</t>
  </si>
  <si>
    <t>de...</t>
  </si>
  <si>
    <t>Tabela mensal do IR até abril/2025</t>
  </si>
  <si>
    <t>Tabela mensal do IR desde maio/2025 (MP 1.294/2025)</t>
  </si>
  <si>
    <t>Para rendimentos maiores que  3.036,00:</t>
  </si>
  <si>
    <t>IRRF mensal</t>
  </si>
  <si>
    <t>Maio a dezembro/2025 (MP 1.294)</t>
  </si>
  <si>
    <t>Renda</t>
  </si>
  <si>
    <t xml:space="preserve">Base de Cálculo </t>
  </si>
  <si>
    <t>isento</t>
  </si>
  <si>
    <t>desconto simplificado:</t>
  </si>
  <si>
    <t>por ano:👇</t>
  </si>
  <si>
    <r>
      <t xml:space="preserve">Obs.: até </t>
    </r>
    <r>
      <rPr>
        <b/>
        <sz val="10"/>
        <color theme="1"/>
        <rFont val="Aptos Narrow"/>
        <family val="2"/>
        <scheme val="minor"/>
      </rPr>
      <t>2.824,00 (2 S.M.)</t>
    </r>
    <r>
      <rPr>
        <sz val="10"/>
        <color theme="1"/>
        <rFont val="Aptos Narrow"/>
        <family val="2"/>
        <scheme val="minor"/>
      </rPr>
      <t xml:space="preserve"> fica zerado por causa do desconto:</t>
    </r>
  </si>
  <si>
    <t>pois: 2.824 – 564,80 = 2.259,20</t>
  </si>
  <si>
    <r>
      <t xml:space="preserve">Obs.: até  </t>
    </r>
    <r>
      <rPr>
        <b/>
        <sz val="10"/>
        <color theme="1"/>
        <rFont val="Aptos Narrow"/>
        <family val="2"/>
        <scheme val="minor"/>
      </rPr>
      <t>3.036,00 (2 S.M.)</t>
    </r>
    <r>
      <rPr>
        <sz val="10"/>
        <color theme="1"/>
        <rFont val="Aptos Narrow"/>
        <family val="2"/>
        <scheme val="minor"/>
      </rPr>
      <t xml:space="preserve"> fica zerado por causa do desconto:</t>
    </r>
  </si>
  <si>
    <t>Faixa de alíquota zero:</t>
  </si>
  <si>
    <t>pois: 3.036 – 607,20 = 2.428,80</t>
  </si>
  <si>
    <t>Alíquota efetiva</t>
  </si>
  <si>
    <t>Salário Líquido</t>
  </si>
  <si>
    <t>Redutor</t>
  </si>
  <si>
    <t>Desc.simplif. ou INSS  (&gt;)</t>
  </si>
  <si>
    <t>INSS (2025)</t>
  </si>
  <si>
    <t>IRPF mensal em 2026  (Lei 15.270/2025 e INSS atualizado)</t>
  </si>
  <si>
    <t>Base de Cálculo IR</t>
  </si>
  <si>
    <r>
      <t xml:space="preserve">Piso do magistério em </t>
    </r>
    <r>
      <rPr>
        <b/>
        <sz val="14"/>
        <color rgb="FFFF0000"/>
        <rFont val="Aptos Narrow"/>
        <family val="2"/>
        <scheme val="minor"/>
      </rPr>
      <t xml:space="preserve">2025: </t>
    </r>
  </si>
  <si>
    <r>
      <t xml:space="preserve">Piso do magistério em </t>
    </r>
    <r>
      <rPr>
        <b/>
        <sz val="14"/>
        <color rgb="FFFF0000"/>
        <rFont val="Aptos Narrow"/>
        <family val="2"/>
        <scheme val="minor"/>
      </rPr>
      <t xml:space="preserve">2026: </t>
    </r>
  </si>
  <si>
    <r>
      <t>INSS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2"/>
        <color rgb="FFFF0000"/>
        <rFont val="Aptos Narrow"/>
        <family val="2"/>
        <scheme val="minor"/>
      </rPr>
      <t>(2026)</t>
    </r>
  </si>
  <si>
    <r>
      <t xml:space="preserve">Teto do INSS em </t>
    </r>
    <r>
      <rPr>
        <b/>
        <sz val="14"/>
        <color rgb="FFFF0000"/>
        <rFont val="Aptos Narrow"/>
        <family val="2"/>
        <scheme val="minor"/>
      </rPr>
      <t xml:space="preserve">2025: </t>
    </r>
  </si>
  <si>
    <t xml:space="preserve">mensal em R$ </t>
  </si>
  <si>
    <r>
      <t xml:space="preserve">Teto do INSS em </t>
    </r>
    <r>
      <rPr>
        <b/>
        <sz val="14"/>
        <color rgb="FFFF0000"/>
        <rFont val="Aptos Narrow"/>
        <family val="2"/>
        <scheme val="minor"/>
      </rPr>
      <t xml:space="preserve">2026: </t>
    </r>
  </si>
  <si>
    <t>Tabela mensal do IR de abril/2015 a abril/2023</t>
  </si>
  <si>
    <t>Tabela mensal do IR a partir de maio/2025</t>
  </si>
  <si>
    <t>Dedução por dependente</t>
  </si>
  <si>
    <t>, desde A.C. 2015: R$ 189,59</t>
  </si>
  <si>
    <t>Faixas de renda</t>
  </si>
  <si>
    <t>IRPF</t>
  </si>
  <si>
    <t>Base cálculo</t>
  </si>
  <si>
    <t>alíq efetiva</t>
  </si>
  <si>
    <t>A.C.</t>
  </si>
  <si>
    <t>se toda a tabela tivesse sido corrigida</t>
  </si>
  <si>
    <t>Faixas     do IRPF</t>
  </si>
  <si>
    <t>Parcela tributada em cada faixa</t>
  </si>
  <si>
    <t>Alíquota</t>
  </si>
  <si>
    <t>Imposto pago sobre a parcela</t>
  </si>
  <si>
    <t>até</t>
  </si>
  <si>
    <t>de</t>
  </si>
  <si>
    <t>redutor:</t>
  </si>
  <si>
    <t>Tabela mensal do IR corrigida pelo IPCA desde 2015</t>
  </si>
  <si>
    <t>INSS ou Desc Simplif.</t>
  </si>
  <si>
    <t>qde declarantes (AC 2022- DIRF2023)</t>
  </si>
  <si>
    <r>
      <t xml:space="preserve">INSS supera o desc.simplificado (607,20) em </t>
    </r>
    <r>
      <rPr>
        <b/>
        <sz val="14"/>
        <color rgb="FFFF0000"/>
        <rFont val="Aptos Narrow"/>
        <family val="2"/>
        <scheme val="minor"/>
      </rPr>
      <t xml:space="preserve">2025: </t>
    </r>
  </si>
  <si>
    <r>
      <t xml:space="preserve">INSS supera o desc.simplificado (607,20) em </t>
    </r>
    <r>
      <rPr>
        <b/>
        <sz val="14"/>
        <color rgb="FFFF0000"/>
        <rFont val="Aptos Narrow"/>
        <family val="2"/>
        <scheme val="minor"/>
      </rPr>
      <t xml:space="preserve">2026: </t>
    </r>
  </si>
  <si>
    <t>Renda:</t>
  </si>
  <si>
    <t>INSS:</t>
  </si>
  <si>
    <t>IRPF:</t>
  </si>
  <si>
    <t>Base Cálculo</t>
  </si>
  <si>
    <t>Tabela mensal do IR maio/2023 a abril/2024</t>
  </si>
  <si>
    <t>pois: 2.640 – 528,00 = 2.112,00</t>
  </si>
  <si>
    <t>Tabela mensal do IR maio/2024 a abril/2025</t>
  </si>
  <si>
    <r>
      <t xml:space="preserve">Obs.: até </t>
    </r>
    <r>
      <rPr>
        <b/>
        <sz val="10"/>
        <color theme="1"/>
        <rFont val="Aptos Narrow"/>
        <family val="2"/>
        <scheme val="minor"/>
      </rPr>
      <t>2.640,00 (2 S.M.)</t>
    </r>
    <r>
      <rPr>
        <sz val="10"/>
        <color theme="1"/>
        <rFont val="Aptos Narrow"/>
        <family val="2"/>
        <scheme val="minor"/>
      </rPr>
      <t xml:space="preserve"> fica zerado devido ao desconto simplificado:</t>
    </r>
  </si>
  <si>
    <r>
      <t xml:space="preserve">Obs.: até </t>
    </r>
    <r>
      <rPr>
        <b/>
        <sz val="10"/>
        <color theme="1"/>
        <rFont val="Aptos Narrow"/>
        <family val="2"/>
        <scheme val="minor"/>
      </rPr>
      <t>2.824,00 (2 S.M.)</t>
    </r>
    <r>
      <rPr>
        <sz val="10"/>
        <color theme="1"/>
        <rFont val="Aptos Narrow"/>
        <family val="2"/>
        <scheme val="minor"/>
      </rPr>
      <t xml:space="preserve"> fica zerado devido ao desconto simplificado:</t>
    </r>
  </si>
  <si>
    <r>
      <t xml:space="preserve">Obs.: até  </t>
    </r>
    <r>
      <rPr>
        <b/>
        <sz val="10"/>
        <color theme="1"/>
        <rFont val="Aptos Narrow"/>
        <family val="2"/>
        <scheme val="minor"/>
      </rPr>
      <t>3.036,00 (2 S.M.)</t>
    </r>
    <r>
      <rPr>
        <sz val="10"/>
        <color theme="1"/>
        <rFont val="Aptos Narrow"/>
        <family val="2"/>
        <scheme val="minor"/>
      </rPr>
      <t xml:space="preserve"> fica zerado devido ao desconto simplificado:</t>
    </r>
  </si>
  <si>
    <t>Renda Bruta         Mensal (Salário)</t>
  </si>
  <si>
    <t>10 Salários-mínimos</t>
  </si>
  <si>
    <t>contribuição máxima INSS em 2023 a partir maio: 876,97</t>
  </si>
  <si>
    <t>contribuição máxima INSS em 2023 até abril: 877,24</t>
  </si>
  <si>
    <t xml:space="preserve"> Tabela aplicando a todas as faixas a correção para faixa 0% ser R$ 5 mil</t>
  </si>
  <si>
    <t>atual (-) IPCA</t>
  </si>
  <si>
    <t>atual (-) corr.  5 mil</t>
  </si>
  <si>
    <t>Salário-Mínimo em 2023</t>
  </si>
  <si>
    <t>Até abril</t>
  </si>
  <si>
    <t>A partir maio</t>
  </si>
  <si>
    <t>Salário-Mínimo em 2015</t>
  </si>
  <si>
    <t>Salário-Mínimo em 2026</t>
  </si>
  <si>
    <t>Salário-Mínimo em 2020</t>
  </si>
  <si>
    <t>Salário-Mínimo em 2025</t>
  </si>
  <si>
    <t>contribuição máxima INSS em 2015: 513,01</t>
  </si>
  <si>
    <r>
      <rPr>
        <sz val="10"/>
        <rFont val="Aptos Narrow"/>
        <family val="2"/>
        <scheme val="minor"/>
      </rPr>
      <t>(6.072)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579,66</t>
    </r>
  </si>
  <si>
    <r>
      <rPr>
        <sz val="10"/>
        <rFont val="Aptos Narrow"/>
        <family val="2"/>
        <scheme val="minor"/>
      </rPr>
      <t>(13.020)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2.469,90</t>
    </r>
  </si>
  <si>
    <r>
      <rPr>
        <sz val="10"/>
        <rFont val="Aptos Narrow"/>
        <family val="2"/>
        <scheme val="minor"/>
      </rPr>
      <t>(13.200)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2.503,87</t>
    </r>
  </si>
  <si>
    <r>
      <rPr>
        <sz val="10"/>
        <rFont val="Aptos Narrow"/>
        <family val="2"/>
        <scheme val="minor"/>
      </rPr>
      <t>(15.180)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3.004,07</t>
    </r>
  </si>
  <si>
    <r>
      <rPr>
        <sz val="10"/>
        <rFont val="Aptos Narrow"/>
        <family val="2"/>
        <scheme val="minor"/>
      </rPr>
      <t>(16.210)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3.277,30</t>
    </r>
  </si>
  <si>
    <r>
      <rPr>
        <sz val="10"/>
        <rFont val="Aptos Narrow"/>
        <family val="2"/>
        <scheme val="minor"/>
      </rPr>
      <t>(26.040)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6.050,40</t>
    </r>
  </si>
  <si>
    <r>
      <rPr>
        <sz val="10"/>
        <rFont val="Aptos Narrow"/>
        <family val="2"/>
        <scheme val="minor"/>
      </rPr>
      <t>(26.400)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6.133,87</t>
    </r>
  </si>
  <si>
    <r>
      <rPr>
        <sz val="10"/>
        <rFont val="Aptos Narrow"/>
        <family val="2"/>
        <scheme val="minor"/>
      </rPr>
      <t>(30.360)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7.178,57</t>
    </r>
  </si>
  <si>
    <r>
      <t>2 Salários-mínimos</t>
    </r>
    <r>
      <rPr>
        <sz val="11"/>
        <color theme="1"/>
        <rFont val="Aptos Narrow"/>
        <family val="2"/>
        <scheme val="minor"/>
      </rPr>
      <t xml:space="preserve"> (i)</t>
    </r>
  </si>
  <si>
    <r>
      <rPr>
        <sz val="10"/>
        <rFont val="Aptos Narrow"/>
        <family val="2"/>
        <scheme val="minor"/>
      </rPr>
      <t>(1.576)</t>
    </r>
    <r>
      <rPr>
        <sz val="11"/>
        <rFont val="Aptos Narrow"/>
        <family val="2"/>
        <scheme val="minor"/>
      </rPr>
      <t xml:space="preserve">         </t>
    </r>
    <r>
      <rPr>
        <b/>
        <sz val="11"/>
        <rFont val="Aptos Narrow"/>
        <family val="2"/>
        <scheme val="minor"/>
      </rPr>
      <t>0,00</t>
    </r>
  </si>
  <si>
    <r>
      <t xml:space="preserve">IRPF no mês: em </t>
    </r>
    <r>
      <rPr>
        <b/>
        <sz val="11"/>
        <color theme="1"/>
        <rFont val="Aptos Narrow"/>
        <family val="2"/>
        <scheme val="minor"/>
      </rPr>
      <t>2026</t>
    </r>
    <r>
      <rPr>
        <sz val="11"/>
        <color theme="1"/>
        <rFont val="Aptos Narrow"/>
        <family val="2"/>
        <scheme val="minor"/>
      </rPr>
      <t>, corrigindo Tabela 2015 pelo IPCA</t>
    </r>
  </si>
  <si>
    <r>
      <t xml:space="preserve">IRPF no mês:         </t>
    </r>
    <r>
      <rPr>
        <b/>
        <sz val="11"/>
        <color theme="1"/>
        <rFont val="Aptos Narrow"/>
        <family val="2"/>
        <scheme val="minor"/>
      </rPr>
      <t xml:space="preserve">Abril/2015 </t>
    </r>
    <r>
      <rPr>
        <sz val="11"/>
        <color theme="1"/>
        <rFont val="Aptos Narrow"/>
        <family val="2"/>
        <scheme val="minor"/>
      </rPr>
      <t xml:space="preserve">         </t>
    </r>
  </si>
  <si>
    <r>
      <t xml:space="preserve">IRPF no mês:         </t>
    </r>
    <r>
      <rPr>
        <b/>
        <sz val="11"/>
        <color theme="1"/>
        <rFont val="Aptos Narrow"/>
        <family val="2"/>
        <scheme val="minor"/>
      </rPr>
      <t xml:space="preserve">Abril/2023 </t>
    </r>
    <r>
      <rPr>
        <sz val="11"/>
        <color theme="1"/>
        <rFont val="Aptos Narrow"/>
        <family val="2"/>
        <scheme val="minor"/>
      </rPr>
      <t xml:space="preserve">               (mesma Tabela de 2015)</t>
    </r>
  </si>
  <si>
    <r>
      <t xml:space="preserve">IRPF no mês:  </t>
    </r>
    <r>
      <rPr>
        <b/>
        <sz val="11"/>
        <color theme="1"/>
        <rFont val="Aptos Narrow"/>
        <family val="2"/>
        <scheme val="minor"/>
      </rPr>
      <t>Maio/2023</t>
    </r>
    <r>
      <rPr>
        <sz val="11"/>
        <color theme="1"/>
        <rFont val="Aptos Narrow"/>
        <family val="2"/>
        <scheme val="minor"/>
      </rPr>
      <t xml:space="preserve"> (Tabela 2015 com o desc. simplificado)</t>
    </r>
  </si>
  <si>
    <r>
      <t xml:space="preserve">IRPF no mês:      </t>
    </r>
    <r>
      <rPr>
        <b/>
        <sz val="11"/>
        <color theme="1"/>
        <rFont val="Aptos Narrow"/>
        <family val="2"/>
        <scheme val="minor"/>
      </rPr>
      <t xml:space="preserve">      Maio/2025</t>
    </r>
  </si>
  <si>
    <r>
      <rPr>
        <sz val="11"/>
        <color theme="1"/>
        <rFont val="Aptos Narrow"/>
        <family val="2"/>
        <scheme val="minor"/>
      </rPr>
      <t>IRPF no mês:</t>
    </r>
    <r>
      <rPr>
        <b/>
        <sz val="11"/>
        <color theme="1"/>
        <rFont val="Aptos Narrow"/>
        <family val="2"/>
        <scheme val="minor"/>
      </rPr>
      <t xml:space="preserve">                </t>
    </r>
    <r>
      <rPr>
        <sz val="11"/>
        <color theme="1"/>
        <rFont val="Aptos Narrow"/>
        <family val="2"/>
        <scheme val="minor"/>
      </rPr>
      <t xml:space="preserve">em </t>
    </r>
    <r>
      <rPr>
        <b/>
        <sz val="11"/>
        <color theme="1"/>
        <rFont val="Aptos Narrow"/>
        <family val="2"/>
        <scheme val="minor"/>
      </rPr>
      <t>2026</t>
    </r>
    <r>
      <rPr>
        <sz val="11"/>
        <color theme="1"/>
        <rFont val="Aptos Narrow"/>
        <family val="2"/>
        <scheme val="minor"/>
      </rPr>
      <t xml:space="preserve">                       </t>
    </r>
    <r>
      <rPr>
        <b/>
        <sz val="11"/>
        <color theme="1"/>
        <rFont val="Aptos Narrow"/>
        <family val="2"/>
        <scheme val="minor"/>
      </rPr>
      <t>Sistema em vigor (Lei 15.270)</t>
    </r>
  </si>
  <si>
    <t>7.500,00 em 2015 + IPCA</t>
  </si>
  <si>
    <r>
      <rPr>
        <sz val="10"/>
        <rFont val="Aptos Narrow"/>
        <family val="2"/>
        <scheme val="minor"/>
      </rPr>
      <t>(3.152)</t>
    </r>
    <r>
      <rPr>
        <sz val="11"/>
        <rFont val="Aptos Narrow"/>
        <family val="2"/>
        <scheme val="minor"/>
      </rPr>
      <t xml:space="preserve">       </t>
    </r>
    <r>
      <rPr>
        <b/>
        <sz val="11"/>
        <rFont val="Aptos Narrow"/>
        <family val="2"/>
        <scheme val="minor"/>
      </rPr>
      <t>67,60</t>
    </r>
  </si>
  <si>
    <r>
      <rPr>
        <sz val="10"/>
        <rFont val="Aptos Narrow"/>
        <family val="2"/>
        <scheme val="minor"/>
      </rPr>
      <t xml:space="preserve">(2.604)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36,31</t>
    </r>
  </si>
  <si>
    <r>
      <rPr>
        <sz val="10"/>
        <rFont val="Aptos Narrow"/>
        <family val="2"/>
        <scheme val="minor"/>
      </rPr>
      <t>(2.640)</t>
    </r>
    <r>
      <rPr>
        <sz val="11"/>
        <rFont val="Aptos Narrow"/>
        <family val="2"/>
        <scheme val="minor"/>
      </rPr>
      <t xml:space="preserve">       </t>
    </r>
    <r>
      <rPr>
        <b/>
        <sz val="11"/>
        <rFont val="Aptos Narrow"/>
        <family val="2"/>
        <scheme val="minor"/>
      </rPr>
      <t>0,00</t>
    </r>
  </si>
  <si>
    <r>
      <rPr>
        <sz val="10"/>
        <rFont val="Aptos Narrow"/>
        <family val="2"/>
        <scheme val="minor"/>
      </rPr>
      <t>(3.036)</t>
    </r>
    <r>
      <rPr>
        <sz val="11"/>
        <rFont val="Aptos Narrow"/>
        <family val="2"/>
        <scheme val="minor"/>
      </rPr>
      <t xml:space="preserve">           </t>
    </r>
    <r>
      <rPr>
        <b/>
        <sz val="11"/>
        <rFont val="Aptos Narrow"/>
        <family val="2"/>
        <scheme val="minor"/>
      </rPr>
      <t>0,00</t>
    </r>
  </si>
  <si>
    <r>
      <rPr>
        <sz val="10"/>
        <rFont val="Aptos Narrow"/>
        <family val="2"/>
        <scheme val="minor"/>
      </rPr>
      <t xml:space="preserve">(3.242)  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0,00</t>
    </r>
  </si>
  <si>
    <r>
      <rPr>
        <sz val="10"/>
        <rFont val="Aptos Narrow"/>
        <family val="2"/>
        <scheme val="minor"/>
      </rPr>
      <t xml:space="preserve">(3.242)     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0,00</t>
    </r>
  </si>
  <si>
    <r>
      <rPr>
        <sz val="10"/>
        <rFont val="Aptos Narrow"/>
        <family val="2"/>
        <scheme val="minor"/>
      </rPr>
      <t xml:space="preserve">(3.242)          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0,00</t>
    </r>
  </si>
  <si>
    <r>
      <t>Piso do Magistério</t>
    </r>
    <r>
      <rPr>
        <sz val="11"/>
        <color theme="1"/>
        <rFont val="Aptos Narrow"/>
        <family val="2"/>
        <scheme val="minor"/>
      </rPr>
      <t xml:space="preserve"> (ii)</t>
    </r>
  </si>
  <si>
    <t>4 Salários-mínimos</t>
  </si>
  <si>
    <t>20 Salários-mínimos</t>
  </si>
  <si>
    <r>
      <rPr>
        <sz val="10"/>
        <rFont val="Aptos Narrow"/>
        <family val="2"/>
        <scheme val="minor"/>
      </rPr>
      <t>(1.917,78)</t>
    </r>
    <r>
      <rPr>
        <sz val="11"/>
        <rFont val="Aptos Narrow"/>
        <family val="2"/>
        <scheme val="minor"/>
      </rPr>
      <t xml:space="preserve">         </t>
    </r>
    <r>
      <rPr>
        <b/>
        <sz val="11"/>
        <rFont val="Aptos Narrow"/>
        <family val="2"/>
        <scheme val="minor"/>
      </rPr>
      <t>0,00</t>
    </r>
  </si>
  <si>
    <r>
      <rPr>
        <sz val="10"/>
        <rFont val="Aptos Narrow"/>
        <family val="2"/>
        <scheme val="minor"/>
      </rPr>
      <t xml:space="preserve">(4.420,55)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224,09</t>
    </r>
  </si>
  <si>
    <r>
      <rPr>
        <sz val="10"/>
        <rFont val="Aptos Narrow"/>
        <family val="2"/>
        <scheme val="minor"/>
      </rPr>
      <t xml:space="preserve">(4.867,77)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283,14</t>
    </r>
  </si>
  <si>
    <t xml:space="preserve">(i)   Valor de dois salários-mínimos entre parênteses, seguido do IRPF mensal (após deduzir o desconto </t>
  </si>
  <si>
    <t xml:space="preserve">        simplificado ou a contribuição ao INSS).</t>
  </si>
  <si>
    <r>
      <rPr>
        <sz val="10"/>
        <rFont val="Aptos Narrow"/>
        <family val="2"/>
        <scheme val="minor"/>
      </rPr>
      <t>(12.889)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2.374,05</t>
    </r>
  </si>
  <si>
    <r>
      <rPr>
        <sz val="10"/>
        <rFont val="Aptos Narrow"/>
        <family val="2"/>
        <scheme val="minor"/>
      </rPr>
      <t>(11.775)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2.112,00</t>
    </r>
  </si>
  <si>
    <r>
      <rPr>
        <sz val="10"/>
        <rFont val="Aptos Narrow"/>
        <family val="2"/>
        <scheme val="minor"/>
      </rPr>
      <t xml:space="preserve">(7.500) </t>
    </r>
    <r>
      <rPr>
        <sz val="11"/>
        <rFont val="Aptos Narrow"/>
        <family val="2"/>
        <scheme val="minor"/>
      </rPr>
      <t xml:space="preserve">     </t>
    </r>
    <r>
      <rPr>
        <b/>
        <sz val="11"/>
        <rFont val="Aptos Narrow"/>
        <family val="2"/>
        <scheme val="minor"/>
      </rPr>
      <t>1.052,06</t>
    </r>
  </si>
  <si>
    <t xml:space="preserve">(ii)  Piso nacional dos professores da rede pública entre parênteses, seguido do IRPF mensal (após </t>
  </si>
  <si>
    <t xml:space="preserve">        deduzir o desconto simplificado ou a contribuição ao INSS).</t>
  </si>
  <si>
    <t>Tabela mensal do IR - correção integral para isentar R$ 5 mil</t>
  </si>
  <si>
    <t>Tabela mensal do IR - correção integral para isentar R$ 4 mil (R$ 5 mil brutos)</t>
  </si>
  <si>
    <r>
      <rPr>
        <sz val="10"/>
        <rFont val="Aptos Narrow"/>
        <family val="2"/>
        <scheme val="minor"/>
      </rPr>
      <t>(6.484)</t>
    </r>
    <r>
      <rPr>
        <sz val="11"/>
        <rFont val="Aptos Narrow"/>
        <family val="2"/>
        <scheme val="minor"/>
      </rPr>
      <t xml:space="preserve">            </t>
    </r>
    <r>
      <rPr>
        <b/>
        <sz val="11"/>
        <rFont val="Aptos Narrow"/>
        <family val="2"/>
        <scheme val="minor"/>
      </rPr>
      <t>89,04</t>
    </r>
  </si>
  <si>
    <r>
      <rPr>
        <sz val="10"/>
        <rFont val="Aptos Narrow"/>
        <family val="2"/>
        <scheme val="minor"/>
      </rPr>
      <t>(32.420)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7.735,05</t>
    </r>
  </si>
  <si>
    <r>
      <rPr>
        <sz val="10"/>
        <rFont val="Aptos Narrow"/>
        <family val="2"/>
        <scheme val="minor"/>
      </rPr>
      <t xml:space="preserve">(5.130,63)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46,78</t>
    </r>
  </si>
  <si>
    <r>
      <rPr>
        <sz val="10"/>
        <rFont val="Aptos Narrow"/>
        <family val="2"/>
        <scheme val="minor"/>
      </rPr>
      <t xml:space="preserve">(5.130,63)   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7,84</t>
    </r>
  </si>
  <si>
    <r>
      <rPr>
        <sz val="10"/>
        <rFont val="Aptos Narrow"/>
        <family val="2"/>
        <scheme val="minor"/>
      </rPr>
      <t>(6.484)</t>
    </r>
    <r>
      <rPr>
        <sz val="11"/>
        <rFont val="Aptos Narrow"/>
        <family val="2"/>
        <scheme val="minor"/>
      </rPr>
      <t xml:space="preserve">   </t>
    </r>
    <r>
      <rPr>
        <b/>
        <sz val="11"/>
        <rFont val="Aptos Narrow"/>
        <family val="2"/>
        <scheme val="minor"/>
      </rPr>
      <t>564,01</t>
    </r>
  </si>
  <si>
    <t>Desc. Simpl.20%</t>
  </si>
  <si>
    <t xml:space="preserve">para: </t>
  </si>
  <si>
    <r>
      <rPr>
        <sz val="10"/>
        <rFont val="Aptos Narrow"/>
        <family val="2"/>
        <scheme val="minor"/>
      </rPr>
      <t>(7.880)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1.156,56</t>
    </r>
  </si>
  <si>
    <r>
      <rPr>
        <sz val="10"/>
        <rFont val="Aptos Narrow"/>
        <family val="2"/>
        <scheme val="minor"/>
      </rPr>
      <t>(15,760)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3.323,56</t>
    </r>
  </si>
  <si>
    <r>
      <rPr>
        <sz val="10"/>
        <rFont val="Aptos Narrow"/>
        <family val="2"/>
        <scheme val="minor"/>
      </rPr>
      <t xml:space="preserve">(4.420,55)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258,35</t>
    </r>
  </si>
  <si>
    <r>
      <rPr>
        <sz val="10"/>
        <rFont val="Aptos Narrow"/>
        <family val="2"/>
        <scheme val="minor"/>
      </rPr>
      <t>(5.280)</t>
    </r>
    <r>
      <rPr>
        <sz val="11"/>
        <rFont val="Aptos Narrow"/>
        <family val="2"/>
        <scheme val="minor"/>
      </rPr>
      <t xml:space="preserve">  </t>
    </r>
    <r>
      <rPr>
        <b/>
        <sz val="11"/>
        <rFont val="Aptos Narrow"/>
        <family val="2"/>
        <scheme val="minor"/>
      </rPr>
      <t>409,12</t>
    </r>
  </si>
  <si>
    <r>
      <rPr>
        <sz val="10"/>
        <rFont val="Aptos Narrow"/>
        <family val="2"/>
        <scheme val="minor"/>
      </rPr>
      <t xml:space="preserve">(5.208)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410,73</t>
    </r>
  </si>
  <si>
    <r>
      <rPr>
        <sz val="10"/>
        <rFont val="Aptos Narrow"/>
        <family val="2"/>
        <scheme val="minor"/>
      </rPr>
      <t xml:space="preserve">(11.748) </t>
    </r>
    <r>
      <rPr>
        <b/>
        <sz val="11"/>
        <rFont val="Aptos Narrow"/>
        <family val="2"/>
        <scheme val="minor"/>
      </rPr>
      <t>2.120,10</t>
    </r>
  </si>
  <si>
    <t>índice de correção</t>
  </si>
  <si>
    <t>Proposta do IJF em 2016:</t>
  </si>
  <si>
    <t>Evolução nas faixas:</t>
  </si>
  <si>
    <t>Faixa a faixa</t>
  </si>
  <si>
    <t>inflação IPCA</t>
  </si>
  <si>
    <t/>
  </si>
  <si>
    <t>Tabela mensal corrigida para isentar R$ 4 mil (‘R$ 5 mil brutos’)</t>
  </si>
  <si>
    <t>Tabela mensal corrigida pelo IPCA maio/2015 a abril/2026</t>
  </si>
  <si>
    <t>Desc. Simpli- ficado (20%)</t>
  </si>
  <si>
    <r>
      <t>4 salários-mínimos em 2026</t>
    </r>
    <r>
      <rPr>
        <b/>
        <sz val="14"/>
        <color rgb="FFFF0000"/>
        <rFont val="Aptos Narrow"/>
        <family val="2"/>
        <scheme val="minor"/>
      </rPr>
      <t xml:space="preserve">: </t>
    </r>
  </si>
  <si>
    <t>2026 c/ faixas corrigidas p/ IPCA mai/2015 a abr/2026</t>
  </si>
  <si>
    <t>?????? &gt;&gt;&gt;&gt;</t>
  </si>
  <si>
    <t xml:space="preserve"> 20% da renda bruta</t>
  </si>
  <si>
    <r>
      <rPr>
        <sz val="10"/>
        <rFont val="Aptos Narrow"/>
        <family val="2"/>
        <scheme val="minor"/>
      </rPr>
      <t>(16.210)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1.825,04</t>
    </r>
  </si>
  <si>
    <r>
      <rPr>
        <sz val="10"/>
        <rFont val="Aptos Narrow"/>
        <family val="2"/>
        <scheme val="minor"/>
      </rPr>
      <t>(32.420)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6.282,79</t>
    </r>
  </si>
  <si>
    <t>Para rendimentos maiores que 4.258,49:</t>
  </si>
  <si>
    <t xml:space="preserve"> Tabela aplicando a todas as faixas a correção pelo IPCA de maio/2015 a abril/2026</t>
  </si>
  <si>
    <t>maio/2015 a abril/2026</t>
  </si>
  <si>
    <t>7500 corrigidos pelo IPCA desde 2015</t>
  </si>
  <si>
    <r>
      <rPr>
        <sz val="10"/>
        <rFont val="Aptos Narrow"/>
        <family val="2"/>
        <scheme val="minor"/>
      </rPr>
      <t xml:space="preserve">(13.420) </t>
    </r>
    <r>
      <rPr>
        <sz val="11"/>
        <rFont val="Aptos Narrow"/>
        <family val="2"/>
        <scheme val="minor"/>
      </rPr>
      <t xml:space="preserve">     </t>
    </r>
    <r>
      <rPr>
        <b/>
        <sz val="11"/>
        <rFont val="Aptos Narrow"/>
        <family val="2"/>
        <scheme val="minor"/>
      </rPr>
      <t>2.510,05</t>
    </r>
  </si>
  <si>
    <r>
      <rPr>
        <sz val="10"/>
        <rFont val="Aptos Narrow"/>
        <family val="2"/>
        <scheme val="minor"/>
      </rPr>
      <t>(13.420)</t>
    </r>
    <r>
      <rPr>
        <sz val="11"/>
        <rFont val="Aptos Narrow"/>
        <family val="2"/>
        <scheme val="minor"/>
      </rPr>
      <t xml:space="preserve">      </t>
    </r>
    <r>
      <rPr>
        <b/>
        <sz val="11"/>
        <rFont val="Aptos Narrow"/>
        <family val="2"/>
        <scheme val="minor"/>
      </rPr>
      <t>1.863,23</t>
    </r>
  </si>
  <si>
    <r>
      <rPr>
        <sz val="10"/>
        <rFont val="Aptos Narrow"/>
        <family val="2"/>
        <scheme val="minor"/>
      </rPr>
      <t xml:space="preserve">(13.420) </t>
    </r>
    <r>
      <rPr>
        <sz val="11"/>
        <rFont val="Aptos Narrow"/>
        <family val="2"/>
        <scheme val="minor"/>
      </rPr>
      <t xml:space="preserve">     </t>
    </r>
    <r>
      <rPr>
        <b/>
        <sz val="11"/>
        <rFont val="Aptos Narrow"/>
        <family val="2"/>
        <scheme val="minor"/>
      </rPr>
      <t>1.125,99</t>
    </r>
  </si>
  <si>
    <t xml:space="preserve">(iii) O IRPF mensal em 2026 é um pouco maior que em 2025 pois o desconto do INSS caiu de R$ 859,59 </t>
  </si>
  <si>
    <r>
      <rPr>
        <sz val="10"/>
        <rFont val="Aptos Narrow"/>
        <family val="2"/>
        <scheme val="minor"/>
      </rPr>
      <t>(16.210)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2.630,48</t>
    </r>
  </si>
  <si>
    <r>
      <rPr>
        <sz val="10"/>
        <rFont val="Aptos Narrow"/>
        <family val="2"/>
        <scheme val="minor"/>
      </rPr>
      <t>(32.420)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7.088,23</t>
    </r>
  </si>
  <si>
    <t>919,60 (iii)</t>
  </si>
  <si>
    <t>917,38 (iii)</t>
  </si>
  <si>
    <t xml:space="preserve">        para R$ 851,51 para essa renda, aumentando a base de cálculo do IRPF.</t>
  </si>
  <si>
    <r>
      <t>IRPF no mês</t>
    </r>
    <r>
      <rPr>
        <b/>
        <sz val="11"/>
        <color theme="1"/>
        <rFont val="Aptos Narrow"/>
        <family val="2"/>
        <scheme val="minor"/>
      </rPr>
      <t xml:space="preserve">: </t>
    </r>
    <r>
      <rPr>
        <sz val="11"/>
        <color theme="1"/>
        <rFont val="Aptos Narrow"/>
        <family val="2"/>
        <scheme val="minor"/>
      </rPr>
      <t xml:space="preserve">em </t>
    </r>
    <r>
      <rPr>
        <b/>
        <sz val="11"/>
        <color theme="1"/>
        <rFont val="Aptos Narrow"/>
        <family val="2"/>
        <scheme val="minor"/>
      </rPr>
      <t>2026</t>
    </r>
    <r>
      <rPr>
        <sz val="11"/>
        <color theme="1"/>
        <rFont val="Aptos Narrow"/>
        <family val="2"/>
        <scheme val="minor"/>
      </rPr>
      <t>, corrigindo Tabela 2015 p/isenção até "R$ 5 mil"</t>
    </r>
  </si>
  <si>
    <t>Tabela mensal do IR - isenta R$ 5 mil brutos e acresce alíquotas</t>
  </si>
  <si>
    <t>Até abril/2025</t>
  </si>
  <si>
    <r>
      <t xml:space="preserve">2026 com as faixas corrigidas p/ isenção 5 mil e </t>
    </r>
    <r>
      <rPr>
        <b/>
        <sz val="14"/>
        <color rgb="FFFF0000"/>
        <rFont val="Aptos Narrow"/>
        <family val="2"/>
        <scheme val="minor"/>
      </rPr>
      <t xml:space="preserve">SEM             o acréscimo de alíquotas </t>
    </r>
    <r>
      <rPr>
        <b/>
        <sz val="14"/>
        <color theme="1"/>
        <rFont val="Aptos Narrow"/>
        <family val="2"/>
        <scheme val="minor"/>
      </rPr>
      <t>acima da de 27,5%</t>
    </r>
  </si>
  <si>
    <r>
      <t xml:space="preserve">2026 com as faixas corrigidas p/ isenção 5 mil e </t>
    </r>
    <r>
      <rPr>
        <b/>
        <sz val="14"/>
        <color rgb="FFFF0000"/>
        <rFont val="Aptos Narrow"/>
        <family val="2"/>
        <scheme val="minor"/>
      </rPr>
      <t xml:space="preserve">COM o acréscimo de alíquotas </t>
    </r>
    <r>
      <rPr>
        <b/>
        <sz val="14"/>
        <color theme="1"/>
        <rFont val="Aptos Narrow"/>
        <family val="2"/>
        <scheme val="minor"/>
      </rPr>
      <t>acima da de 27,5%</t>
    </r>
  </si>
  <si>
    <r>
      <t xml:space="preserve">Tabela mensal corrigida para isentar R$ 4 mil (‘R$ 5 mil brutos’)      </t>
    </r>
    <r>
      <rPr>
        <b/>
        <sz val="12"/>
        <color rgb="FFFF0000"/>
        <rFont val="Aptos Narrow"/>
        <family val="2"/>
        <scheme val="minor"/>
      </rPr>
      <t xml:space="preserve">  e com alíquotas acima (32,5%, 37,5% e 42,5%)</t>
    </r>
  </si>
  <si>
    <r>
      <rPr>
        <sz val="10"/>
        <rFont val="Aptos Narrow"/>
        <family val="2"/>
        <scheme val="minor"/>
      </rPr>
      <t xml:space="preserve">(5.130,63)  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12,89</t>
    </r>
  </si>
  <si>
    <r>
      <rPr>
        <sz val="10"/>
        <rFont val="Aptos Narrow"/>
        <family val="2"/>
        <scheme val="minor"/>
      </rPr>
      <t xml:space="preserve">(6.484)    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189,51</t>
    </r>
  </si>
  <si>
    <t>IRPF mensal</t>
  </si>
  <si>
    <t>Alíquota Efetiva</t>
  </si>
  <si>
    <t>alíquota efetiva de "27,5%" com alíquotas mais altas &gt;&gt;</t>
  </si>
  <si>
    <t>Renda bruta   mensal (*)</t>
  </si>
  <si>
    <t xml:space="preserve">83.333,33 (i)     </t>
  </si>
  <si>
    <t xml:space="preserve">94.300,00 (ii)    </t>
  </si>
  <si>
    <t>(i)  R$ 83.333.33/mês = R$ 1 milhão/ano.</t>
  </si>
  <si>
    <t>(ii) R$ 94.300,00: renda bruta mensal que terá a alíquota efetiva de "27,5%".</t>
  </si>
  <si>
    <t>Base Cálculo     do IRPF</t>
  </si>
  <si>
    <t>Desc.Simplificado (limite R$ 2.932)</t>
  </si>
  <si>
    <t>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</si>
</sst>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00"/>
    <numFmt numFmtId="166" formatCode="0.0000"/>
    <numFmt numFmtId="167" formatCode="0.0"/>
  </numFmts>
  <fonts count="2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0129A9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name val="Aptos Display"/>
      <family val="2"/>
    </font>
    <font>
      <sz val="14"/>
      <name val="Aptos Display"/>
      <family val="2"/>
    </font>
    <font>
      <sz val="12"/>
      <name val="Aptos Display"/>
      <family val="2"/>
    </font>
    <font>
      <b/>
      <sz val="12"/>
      <name val="Aptos Display"/>
      <family val="2"/>
    </font>
    <font>
      <sz val="8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129A9"/>
      </left>
      <right style="medium">
        <color rgb="FF0129A9"/>
      </right>
      <top style="medium">
        <color rgb="FF0129A9"/>
      </top>
      <bottom/>
      <diagonal/>
    </border>
    <border>
      <left style="medium">
        <color rgb="FF0129A9"/>
      </left>
      <right style="medium">
        <color rgb="FF0129A9"/>
      </right>
      <top/>
      <bottom/>
      <diagonal/>
    </border>
    <border>
      <left style="medium">
        <color rgb="FF0129A9"/>
      </left>
      <right style="medium">
        <color rgb="FF0129A9"/>
      </right>
      <top/>
      <bottom style="medium">
        <color rgb="FF0129A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0129A9"/>
      </left>
      <right/>
      <top/>
      <bottom/>
      <diagonal/>
    </border>
    <border>
      <left/>
      <right style="medium">
        <color rgb="FF0129A9"/>
      </right>
      <top/>
      <bottom/>
      <diagonal/>
    </border>
    <border>
      <left style="medium">
        <color rgb="FF0129A9"/>
      </left>
      <right/>
      <top/>
      <bottom style="thick">
        <color rgb="FFFF0000"/>
      </bottom>
      <diagonal/>
    </border>
    <border>
      <left/>
      <right style="medium">
        <color rgb="FF0129A9"/>
      </right>
      <top/>
      <bottom style="thick">
        <color rgb="FFFF0000"/>
      </bottom>
      <diagonal/>
    </border>
    <border>
      <left style="thick">
        <color rgb="FFFF0000"/>
      </left>
      <right style="medium">
        <color rgb="FF0129A9"/>
      </right>
      <top/>
      <bottom/>
      <diagonal/>
    </border>
    <border>
      <left style="medium">
        <color rgb="FF0129A9"/>
      </left>
      <right/>
      <top style="medium">
        <color rgb="FF0129A9"/>
      </top>
      <bottom/>
      <diagonal/>
    </border>
    <border>
      <left/>
      <right/>
      <top style="medium">
        <color rgb="FF0129A9"/>
      </top>
      <bottom/>
      <diagonal/>
    </border>
    <border>
      <left/>
      <right style="medium">
        <color rgb="FF0129A9"/>
      </right>
      <top style="medium">
        <color rgb="FF0129A9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5">
    <xf numFmtId="0" fontId="0" fillId="0" borderId="0" xfId="0"/>
    <xf numFmtId="4" fontId="0" fillId="0" borderId="0" xfId="0" applyNumberFormat="1"/>
    <xf numFmtId="0" fontId="0" fillId="0" borderId="7" xfId="0" applyBorder="1"/>
    <xf numFmtId="4" fontId="0" fillId="0" borderId="10" xfId="0" applyNumberFormat="1" applyBorder="1"/>
    <xf numFmtId="4" fontId="0" fillId="0" borderId="11" xfId="0" applyNumberFormat="1" applyBorder="1"/>
    <xf numFmtId="4" fontId="2" fillId="0" borderId="10" xfId="0" applyNumberFormat="1" applyFont="1" applyBorder="1"/>
    <xf numFmtId="4" fontId="2" fillId="0" borderId="0" xfId="0" applyNumberFormat="1" applyFont="1"/>
    <xf numFmtId="4" fontId="3" fillId="0" borderId="10" xfId="0" applyNumberFormat="1" applyFont="1" applyBorder="1"/>
    <xf numFmtId="0" fontId="3" fillId="0" borderId="0" xfId="0" applyFont="1" applyAlignment="1">
      <alignment horizontal="right"/>
    </xf>
    <xf numFmtId="4" fontId="4" fillId="0" borderId="10" xfId="0" applyNumberFormat="1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" fontId="3" fillId="0" borderId="0" xfId="0" applyNumberFormat="1" applyFont="1"/>
    <xf numFmtId="0" fontId="1" fillId="0" borderId="0" xfId="0" applyFont="1"/>
    <xf numFmtId="4" fontId="0" fillId="0" borderId="13" xfId="0" applyNumberFormat="1" applyBorder="1"/>
    <xf numFmtId="4" fontId="0" fillId="0" borderId="14" xfId="0" applyNumberFormat="1" applyBorder="1"/>
    <xf numFmtId="4" fontId="0" fillId="0" borderId="0" xfId="0" applyNumberFormat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5" xfId="0" applyFont="1" applyBorder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5" xfId="0" applyBorder="1"/>
    <xf numFmtId="164" fontId="7" fillId="0" borderId="0" xfId="0" applyNumberFormat="1" applyFont="1"/>
    <xf numFmtId="0" fontId="0" fillId="0" borderId="6" xfId="0" applyBorder="1"/>
    <xf numFmtId="4" fontId="7" fillId="0" borderId="7" xfId="0" applyNumberFormat="1" applyFont="1" applyBorder="1"/>
    <xf numFmtId="0" fontId="0" fillId="0" borderId="8" xfId="0" applyBorder="1"/>
    <xf numFmtId="4" fontId="7" fillId="0" borderId="5" xfId="0" applyNumberFormat="1" applyFont="1" applyBorder="1"/>
    <xf numFmtId="0" fontId="4" fillId="0" borderId="0" xfId="0" applyFont="1" applyAlignment="1">
      <alignment horizontal="right"/>
    </xf>
    <xf numFmtId="4" fontId="4" fillId="0" borderId="13" xfId="0" applyNumberFormat="1" applyFont="1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0" fontId="10" fillId="0" borderId="0" xfId="0" applyFont="1" applyAlignment="1">
      <alignment horizontal="right"/>
    </xf>
    <xf numFmtId="4" fontId="4" fillId="0" borderId="19" xfId="0" applyNumberFormat="1" applyFont="1" applyBorder="1"/>
    <xf numFmtId="4" fontId="9" fillId="0" borderId="18" xfId="0" applyNumberFormat="1" applyFon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right"/>
    </xf>
    <xf numFmtId="164" fontId="0" fillId="0" borderId="24" xfId="0" applyNumberFormat="1" applyBorder="1"/>
    <xf numFmtId="4" fontId="9" fillId="0" borderId="23" xfId="0" applyNumberFormat="1" applyFont="1" applyBorder="1" applyAlignment="1">
      <alignment horizontal="center"/>
    </xf>
    <xf numFmtId="4" fontId="9" fillId="0" borderId="25" xfId="0" applyNumberFormat="1" applyFont="1" applyBorder="1" applyAlignment="1">
      <alignment horizontal="center"/>
    </xf>
    <xf numFmtId="164" fontId="0" fillId="0" borderId="26" xfId="0" applyNumberFormat="1" applyBorder="1"/>
    <xf numFmtId="4" fontId="9" fillId="0" borderId="12" xfId="0" applyNumberFormat="1" applyFont="1" applyBorder="1"/>
    <xf numFmtId="0" fontId="0" fillId="0" borderId="27" xfId="0" applyBorder="1" applyAlignment="1">
      <alignment horizontal="center" vertical="center" wrapText="1"/>
    </xf>
    <xf numFmtId="4" fontId="0" fillId="0" borderId="20" xfId="0" applyNumberFormat="1" applyBorder="1" applyAlignment="1">
      <alignment horizontal="center"/>
    </xf>
    <xf numFmtId="4" fontId="4" fillId="0" borderId="0" xfId="0" applyNumberFormat="1" applyFont="1"/>
    <xf numFmtId="0" fontId="12" fillId="0" borderId="9" xfId="0" applyFont="1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0" borderId="29" xfId="0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7" fillId="0" borderId="2" xfId="0" applyFont="1" applyBorder="1"/>
    <xf numFmtId="4" fontId="7" fillId="0" borderId="2" xfId="0" applyNumberFormat="1" applyFont="1" applyBorder="1"/>
    <xf numFmtId="0" fontId="0" fillId="0" borderId="2" xfId="0" applyBorder="1"/>
    <xf numFmtId="0" fontId="7" fillId="0" borderId="2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/>
    <xf numFmtId="4" fontId="16" fillId="0" borderId="32" xfId="0" applyNumberFormat="1" applyFont="1" applyBorder="1"/>
    <xf numFmtId="4" fontId="16" fillId="0" borderId="32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4" fontId="16" fillId="0" borderId="33" xfId="0" applyNumberFormat="1" applyFont="1" applyBorder="1" applyAlignment="1">
      <alignment horizontal="center"/>
    </xf>
    <xf numFmtId="10" fontId="16" fillId="0" borderId="32" xfId="0" applyNumberFormat="1" applyFont="1" applyBorder="1" applyAlignment="1">
      <alignment horizontal="center"/>
    </xf>
    <xf numFmtId="9" fontId="16" fillId="0" borderId="32" xfId="0" applyNumberFormat="1" applyFont="1" applyBorder="1" applyAlignment="1">
      <alignment horizontal="center"/>
    </xf>
    <xf numFmtId="4" fontId="17" fillId="0" borderId="32" xfId="0" applyNumberFormat="1" applyFont="1" applyBorder="1"/>
    <xf numFmtId="10" fontId="0" fillId="0" borderId="0" xfId="0" applyNumberFormat="1"/>
    <xf numFmtId="0" fontId="15" fillId="0" borderId="6" xfId="0" applyFont="1" applyBorder="1" applyAlignment="1">
      <alignment vertical="center"/>
    </xf>
    <xf numFmtId="0" fontId="16" fillId="0" borderId="4" xfId="0" applyFont="1" applyBorder="1"/>
    <xf numFmtId="0" fontId="16" fillId="0" borderId="0" xfId="0" applyFont="1"/>
    <xf numFmtId="4" fontId="17" fillId="0" borderId="0" xfId="0" applyNumberFormat="1" applyFont="1" applyAlignment="1">
      <alignment horizontal="left"/>
    </xf>
    <xf numFmtId="0" fontId="16" fillId="0" borderId="5" xfId="0" applyFont="1" applyBorder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wrapText="1"/>
    </xf>
    <xf numFmtId="0" fontId="15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vertical="center"/>
    </xf>
    <xf numFmtId="4" fontId="14" fillId="0" borderId="8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horizontal="right" vertical="center"/>
    </xf>
    <xf numFmtId="0" fontId="15" fillId="0" borderId="32" xfId="0" applyFont="1" applyBorder="1" applyAlignment="1">
      <alignment vertical="center"/>
    </xf>
    <xf numFmtId="4" fontId="14" fillId="0" borderId="33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0" fontId="13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horizontal="right" vertical="center"/>
    </xf>
    <xf numFmtId="0" fontId="18" fillId="0" borderId="6" xfId="0" applyFont="1" applyBorder="1"/>
    <xf numFmtId="4" fontId="18" fillId="0" borderId="7" xfId="0" applyNumberFormat="1" applyFont="1" applyBorder="1"/>
    <xf numFmtId="164" fontId="18" fillId="0" borderId="7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4" fontId="7" fillId="0" borderId="0" xfId="0" applyNumberFormat="1" applyFont="1" applyAlignment="1">
      <alignment horizontal="left"/>
    </xf>
    <xf numFmtId="165" fontId="7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19" fillId="0" borderId="0" xfId="0" applyFont="1" applyAlignment="1">
      <alignment horizontal="left" wrapText="1"/>
    </xf>
    <xf numFmtId="10" fontId="6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7" fontId="0" fillId="0" borderId="0" xfId="0" applyNumberFormat="1"/>
    <xf numFmtId="4" fontId="0" fillId="0" borderId="5" xfId="0" applyNumberFormat="1" applyBorder="1" applyAlignment="1">
      <alignment horizontal="center"/>
    </xf>
    <xf numFmtId="2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4" fontId="4" fillId="0" borderId="23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" fontId="13" fillId="0" borderId="0" xfId="0" applyNumberFormat="1" applyFont="1"/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" fontId="9" fillId="0" borderId="44" xfId="0" applyNumberFormat="1" applyFont="1" applyBorder="1" applyAlignment="1">
      <alignment horizontal="center" vertical="center"/>
    </xf>
    <xf numFmtId="4" fontId="9" fillId="0" borderId="45" xfId="0" applyNumberFormat="1" applyFon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4" fontId="9" fillId="0" borderId="44" xfId="0" applyNumberFormat="1" applyFont="1" applyBorder="1" applyAlignment="1">
      <alignment horizontal="center" vertical="center" wrapText="1"/>
    </xf>
    <xf numFmtId="4" fontId="9" fillId="0" borderId="45" xfId="0" applyNumberFormat="1" applyFont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4" fontId="9" fillId="2" borderId="44" xfId="0" applyNumberFormat="1" applyFont="1" applyFill="1" applyBorder="1" applyAlignment="1">
      <alignment horizontal="center" vertical="center" wrapText="1"/>
    </xf>
    <xf numFmtId="4" fontId="9" fillId="2" borderId="44" xfId="0" applyNumberFormat="1" applyFont="1" applyFill="1" applyBorder="1" applyAlignment="1">
      <alignment horizontal="center" vertical="center"/>
    </xf>
    <xf numFmtId="4" fontId="9" fillId="0" borderId="47" xfId="0" applyNumberFormat="1" applyFont="1" applyBorder="1" applyAlignment="1">
      <alignment horizontal="center" vertical="center" wrapText="1"/>
    </xf>
    <xf numFmtId="4" fontId="9" fillId="2" borderId="47" xfId="0" applyNumberFormat="1" applyFont="1" applyFill="1" applyBorder="1" applyAlignment="1">
      <alignment horizontal="center" vertical="center" wrapText="1"/>
    </xf>
    <xf numFmtId="4" fontId="9" fillId="0" borderId="48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23" fillId="0" borderId="0" xfId="0" applyFont="1" applyAlignment="1">
      <alignment horizontal="right"/>
    </xf>
    <xf numFmtId="0" fontId="20" fillId="0" borderId="0" xfId="0" applyFont="1"/>
    <xf numFmtId="0" fontId="11" fillId="0" borderId="0" xfId="0" applyFont="1" applyAlignment="1">
      <alignment horizontal="center" vertical="center"/>
    </xf>
    <xf numFmtId="166" fontId="7" fillId="0" borderId="0" xfId="0" applyNumberFormat="1" applyFont="1"/>
    <xf numFmtId="0" fontId="20" fillId="0" borderId="0" xfId="0" applyFont="1" applyAlignment="1">
      <alignment horizontal="left" vertical="top"/>
    </xf>
    <xf numFmtId="0" fontId="0" fillId="0" borderId="0" xfId="0" quotePrefix="1"/>
    <xf numFmtId="0" fontId="0" fillId="3" borderId="0" xfId="0" applyFill="1"/>
    <xf numFmtId="164" fontId="7" fillId="0" borderId="0" xfId="0" applyNumberFormat="1" applyFont="1" applyAlignment="1">
      <alignment horizontal="right" indent="1"/>
    </xf>
    <xf numFmtId="4" fontId="24" fillId="0" borderId="23" xfId="0" applyNumberFormat="1" applyFont="1" applyBorder="1" applyAlignment="1">
      <alignment horizontal="center"/>
    </xf>
    <xf numFmtId="4" fontId="24" fillId="0" borderId="25" xfId="0" applyNumberFormat="1" applyFont="1" applyBorder="1" applyAlignment="1">
      <alignment horizontal="center"/>
    </xf>
    <xf numFmtId="4" fontId="24" fillId="0" borderId="18" xfId="0" applyNumberFormat="1" applyFont="1" applyBorder="1" applyAlignment="1">
      <alignment horizontal="center"/>
    </xf>
    <xf numFmtId="4" fontId="24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4" xfId="0" applyBorder="1"/>
    <xf numFmtId="9" fontId="7" fillId="0" borderId="0" xfId="0" applyNumberFormat="1" applyFont="1"/>
    <xf numFmtId="10" fontId="0" fillId="0" borderId="24" xfId="0" applyNumberFormat="1" applyBorder="1"/>
    <xf numFmtId="10" fontId="0" fillId="0" borderId="26" xfId="0" applyNumberFormat="1" applyBorder="1"/>
    <xf numFmtId="0" fontId="0" fillId="0" borderId="49" xfId="0" applyBorder="1"/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53" xfId="0" applyFont="1" applyBorder="1"/>
    <xf numFmtId="0" fontId="7" fillId="0" borderId="54" xfId="0" applyFont="1" applyBorder="1" applyAlignment="1">
      <alignment horizontal="center"/>
    </xf>
    <xf numFmtId="0" fontId="18" fillId="0" borderId="55" xfId="0" applyFont="1" applyBorder="1"/>
    <xf numFmtId="4" fontId="18" fillId="0" borderId="49" xfId="0" applyNumberFormat="1" applyFont="1" applyBorder="1"/>
    <xf numFmtId="164" fontId="18" fillId="0" borderId="49" xfId="0" applyNumberFormat="1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9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wrapText="1"/>
    </xf>
    <xf numFmtId="4" fontId="9" fillId="0" borderId="58" xfId="0" applyNumberFormat="1" applyFont="1" applyBorder="1" applyAlignment="1">
      <alignment horizontal="center" vertical="center"/>
    </xf>
    <xf numFmtId="4" fontId="9" fillId="0" borderId="59" xfId="0" applyNumberFormat="1" applyFont="1" applyBorder="1" applyAlignment="1">
      <alignment horizontal="center" vertical="center"/>
    </xf>
    <xf numFmtId="10" fontId="9" fillId="0" borderId="60" xfId="0" applyNumberFormat="1" applyFont="1" applyBorder="1" applyAlignment="1">
      <alignment horizontal="center" vertical="center"/>
    </xf>
    <xf numFmtId="4" fontId="9" fillId="0" borderId="61" xfId="0" applyNumberFormat="1" applyFont="1" applyBorder="1" applyAlignment="1">
      <alignment horizontal="center" vertical="center"/>
    </xf>
    <xf numFmtId="4" fontId="9" fillId="0" borderId="62" xfId="0" applyNumberFormat="1" applyFont="1" applyBorder="1" applyAlignment="1">
      <alignment horizontal="center" vertical="center"/>
    </xf>
    <xf numFmtId="10" fontId="9" fillId="0" borderId="63" xfId="0" applyNumberFormat="1" applyFont="1" applyBorder="1" applyAlignment="1">
      <alignment horizontal="center" vertical="center"/>
    </xf>
    <xf numFmtId="4" fontId="9" fillId="0" borderId="64" xfId="0" applyNumberFormat="1" applyFont="1" applyBorder="1" applyAlignment="1">
      <alignment horizontal="center" vertical="center"/>
    </xf>
    <xf numFmtId="4" fontId="9" fillId="0" borderId="65" xfId="0" applyNumberFormat="1" applyFont="1" applyBorder="1" applyAlignment="1">
      <alignment horizontal="center" vertical="center"/>
    </xf>
    <xf numFmtId="10" fontId="9" fillId="0" borderId="66" xfId="0" applyNumberFormat="1" applyFont="1" applyBorder="1" applyAlignment="1">
      <alignment horizontal="center" vertical="center"/>
    </xf>
    <xf numFmtId="4" fontId="9" fillId="0" borderId="61" xfId="0" applyNumberFormat="1" applyFont="1" applyBorder="1" applyAlignment="1">
      <alignment horizontal="right" vertical="center"/>
    </xf>
    <xf numFmtId="4" fontId="0" fillId="4" borderId="54" xfId="0" applyNumberForma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3" fillId="0" borderId="50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right"/>
    </xf>
    <xf numFmtId="4" fontId="6" fillId="0" borderId="0" xfId="0" applyNumberFormat="1" applyFont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4" fontId="0" fillId="2" borderId="18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164" fontId="0" fillId="2" borderId="24" xfId="0" applyNumberFormat="1" applyFill="1" applyBorder="1" applyAlignment="1">
      <alignment horizontal="right"/>
    </xf>
    <xf numFmtId="4" fontId="0" fillId="2" borderId="19" xfId="0" applyNumberFormat="1" applyFill="1" applyBorder="1"/>
    <xf numFmtId="4" fontId="24" fillId="2" borderId="23" xfId="0" applyNumberFormat="1" applyFont="1" applyFill="1" applyBorder="1" applyAlignment="1">
      <alignment horizontal="center"/>
    </xf>
    <xf numFmtId="4" fontId="4" fillId="2" borderId="0" xfId="0" applyNumberFormat="1" applyFont="1" applyFill="1"/>
    <xf numFmtId="4" fontId="4" fillId="2" borderId="19" xfId="0" applyNumberFormat="1" applyFont="1" applyFill="1" applyBorder="1"/>
    <xf numFmtId="4" fontId="2" fillId="2" borderId="0" xfId="0" applyNumberFormat="1" applyFont="1" applyFill="1"/>
    <xf numFmtId="4" fontId="9" fillId="2" borderId="12" xfId="0" applyNumberFormat="1" applyFont="1" applyFill="1" applyBorder="1"/>
    <xf numFmtId="4" fontId="0" fillId="2" borderId="13" xfId="0" applyNumberFormat="1" applyFill="1" applyBorder="1"/>
    <xf numFmtId="10" fontId="0" fillId="2" borderId="24" xfId="0" applyNumberFormat="1" applyFill="1" applyBorder="1"/>
    <xf numFmtId="4" fontId="4" fillId="2" borderId="13" xfId="0" applyNumberFormat="1" applyFont="1" applyFill="1" applyBorder="1"/>
    <xf numFmtId="4" fontId="9" fillId="2" borderId="18" xfId="0" applyNumberFormat="1" applyFont="1" applyFill="1" applyBorder="1" applyAlignment="1">
      <alignment horizontal="center"/>
    </xf>
    <xf numFmtId="4" fontId="4" fillId="2" borderId="23" xfId="0" applyNumberFormat="1" applyFont="1" applyFill="1" applyBorder="1" applyAlignment="1">
      <alignment horizontal="center"/>
    </xf>
    <xf numFmtId="4" fontId="9" fillId="2" borderId="23" xfId="0" applyNumberFormat="1" applyFont="1" applyFill="1" applyBorder="1" applyAlignment="1">
      <alignment horizontal="center"/>
    </xf>
    <xf numFmtId="4" fontId="0" fillId="2" borderId="14" xfId="0" applyNumberFormat="1" applyFill="1" applyBorder="1"/>
    <xf numFmtId="0" fontId="0" fillId="2" borderId="0" xfId="0" applyFill="1"/>
    <xf numFmtId="4" fontId="24" fillId="2" borderId="18" xfId="0" applyNumberFormat="1" applyFont="1" applyFill="1" applyBorder="1" applyAlignment="1">
      <alignment horizontal="center"/>
    </xf>
    <xf numFmtId="4" fontId="24" fillId="2" borderId="20" xfId="0" applyNumberFormat="1" applyFont="1" applyFill="1" applyBorder="1" applyAlignment="1">
      <alignment horizontal="center"/>
    </xf>
    <xf numFmtId="4" fontId="9" fillId="2" borderId="25" xfId="0" applyNumberFormat="1" applyFont="1" applyFill="1" applyBorder="1" applyAlignment="1">
      <alignment horizontal="center"/>
    </xf>
    <xf numFmtId="4" fontId="0" fillId="2" borderId="21" xfId="0" applyNumberFormat="1" applyFill="1" applyBorder="1"/>
    <xf numFmtId="10" fontId="0" fillId="2" borderId="26" xfId="0" applyNumberFormat="1" applyFill="1" applyBorder="1"/>
    <xf numFmtId="4" fontId="0" fillId="2" borderId="2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29A9"/>
      <color rgb="FF240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22</xdr:row>
      <xdr:rowOff>57149</xdr:rowOff>
    </xdr:from>
    <xdr:to>
      <xdr:col>5</xdr:col>
      <xdr:colOff>933450</xdr:colOff>
      <xdr:row>25</xdr:row>
      <xdr:rowOff>171449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325E9D94-5A41-A328-C030-9AE05BAFC97D}"/>
            </a:ext>
          </a:extLst>
        </xdr:cNvPr>
        <xdr:cNvSpPr/>
      </xdr:nvSpPr>
      <xdr:spPr>
        <a:xfrm flipV="1">
          <a:off x="3171825" y="4000499"/>
          <a:ext cx="257175" cy="561975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Eduardo Mantovani" id="{357D2E53-9DF3-4D19-B9FC-D42D3CCE5D25}" userId="771aed5436469e9d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" dT="2026-05-22T19:36:12.48" personId="{357D2E53-9DF3-4D19-B9FC-D42D3CCE5D25}" id="{E37CC654-E6C1-4153-B440-ED3B62CF097E}">
    <text>ok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C628-397D-440F-9B87-E81219E80B06}">
  <dimension ref="B1:BH103"/>
  <sheetViews>
    <sheetView tabSelected="1" zoomScaleNormal="10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D29" sqref="D29"/>
    </sheetView>
  </sheetViews>
  <sheetFormatPr defaultRowHeight="15" x14ac:dyDescent="0.25"/>
  <cols>
    <col min="1" max="1" width="1.140625" customWidth="1"/>
    <col min="2" max="2" width="5.5703125" customWidth="1"/>
    <col min="3" max="3" width="10" customWidth="1"/>
    <col min="4" max="5" width="8.85546875" customWidth="1"/>
    <col min="6" max="6" width="9.85546875" customWidth="1"/>
    <col min="7" max="7" width="12.7109375" customWidth="1"/>
    <col min="8" max="8" width="1.85546875" customWidth="1"/>
    <col min="9" max="9" width="10.42578125" customWidth="1"/>
    <col min="10" max="10" width="1.42578125" customWidth="1"/>
    <col min="11" max="12" width="12" customWidth="1"/>
    <col min="13" max="14" width="10.7109375" customWidth="1"/>
    <col min="15" max="15" width="8" customWidth="1"/>
    <col min="16" max="16" width="10.28515625" customWidth="1"/>
    <col min="17" max="17" width="1.42578125" customWidth="1"/>
    <col min="18" max="19" width="12" customWidth="1"/>
    <col min="20" max="21" width="10.7109375" customWidth="1"/>
    <col min="22" max="22" width="8" customWidth="1"/>
    <col min="23" max="23" width="10.28515625" customWidth="1"/>
    <col min="24" max="24" width="1.42578125" customWidth="1"/>
    <col min="25" max="25" width="12.5703125" customWidth="1"/>
    <col min="26" max="26" width="11.7109375" customWidth="1"/>
    <col min="27" max="27" width="10.5703125" customWidth="1"/>
    <col min="28" max="28" width="8.42578125" customWidth="1"/>
    <col min="29" max="29" width="10.5703125" customWidth="1"/>
    <col min="30" max="30" width="7.5703125" customWidth="1"/>
    <col min="31" max="31" width="10.28515625" customWidth="1"/>
    <col min="32" max="32" width="1.42578125" customWidth="1"/>
    <col min="33" max="33" width="12.5703125" customWidth="1"/>
    <col min="34" max="34" width="11.7109375" customWidth="1"/>
    <col min="35" max="37" width="10.5703125" customWidth="1"/>
    <col min="38" max="38" width="8.140625" customWidth="1"/>
    <col min="39" max="39" width="10.28515625" customWidth="1"/>
    <col min="40" max="40" width="1.42578125" customWidth="1"/>
    <col min="41" max="41" width="12.5703125" customWidth="1"/>
    <col min="42" max="42" width="13" customWidth="1"/>
    <col min="43" max="44" width="10.5703125" customWidth="1"/>
    <col min="45" max="45" width="8.140625" customWidth="1"/>
    <col min="46" max="46" width="10.28515625" customWidth="1"/>
    <col min="47" max="47" width="1.42578125" customWidth="1"/>
    <col min="48" max="53" width="10.28515625" customWidth="1"/>
    <col min="54" max="54" width="4" customWidth="1"/>
    <col min="56" max="56" width="11.42578125" customWidth="1"/>
    <col min="57" max="57" width="10.7109375" customWidth="1"/>
    <col min="59" max="59" width="10" customWidth="1"/>
    <col min="60" max="60" width="11.5703125" customWidth="1"/>
  </cols>
  <sheetData>
    <row r="1" spans="2:60" ht="9.75" customHeight="1" thickBot="1" x14ac:dyDescent="0.3"/>
    <row r="2" spans="2:60" ht="37.5" customHeight="1" thickTop="1" thickBot="1" x14ac:dyDescent="0.35">
      <c r="B2" s="225" t="s">
        <v>7</v>
      </c>
      <c r="C2" s="226"/>
      <c r="D2" s="226"/>
      <c r="E2" s="226"/>
      <c r="F2" s="226"/>
      <c r="G2" s="227"/>
      <c r="I2" s="51" t="s">
        <v>12</v>
      </c>
      <c r="K2" s="219" t="s">
        <v>164</v>
      </c>
      <c r="L2" s="220"/>
      <c r="M2" s="220"/>
      <c r="N2" s="220"/>
      <c r="O2" s="220"/>
      <c r="P2" s="221"/>
      <c r="R2" s="219" t="s">
        <v>11</v>
      </c>
      <c r="S2" s="220"/>
      <c r="T2" s="220"/>
      <c r="U2" s="220"/>
      <c r="V2" s="220"/>
      <c r="W2" s="221"/>
      <c r="Y2" s="241" t="s">
        <v>27</v>
      </c>
      <c r="Z2" s="242"/>
      <c r="AA2" s="242"/>
      <c r="AB2" s="242"/>
      <c r="AC2" s="242"/>
      <c r="AD2" s="242"/>
      <c r="AE2" s="243"/>
      <c r="AG2" s="219" t="s">
        <v>144</v>
      </c>
      <c r="AH2" s="220"/>
      <c r="AI2" s="220"/>
      <c r="AJ2" s="220"/>
      <c r="AK2" s="220"/>
      <c r="AL2" s="220"/>
      <c r="AM2" s="221"/>
      <c r="AO2" s="222" t="s">
        <v>165</v>
      </c>
      <c r="AP2" s="223"/>
      <c r="AQ2" s="223"/>
      <c r="AR2" s="223"/>
      <c r="AS2" s="223"/>
      <c r="AT2" s="224"/>
      <c r="AV2" s="222" t="s">
        <v>166</v>
      </c>
      <c r="AW2" s="223"/>
      <c r="AX2" s="223"/>
      <c r="AY2" s="223"/>
      <c r="AZ2" s="223"/>
      <c r="BA2" s="224"/>
      <c r="BC2" s="228" t="s">
        <v>141</v>
      </c>
      <c r="BD2" s="229"/>
      <c r="BE2" s="229"/>
      <c r="BF2" s="229"/>
      <c r="BG2" s="229"/>
      <c r="BH2" s="230"/>
    </row>
    <row r="3" spans="2:60" ht="31.5" customHeight="1" x14ac:dyDescent="0.25">
      <c r="B3" s="200" t="s">
        <v>20</v>
      </c>
      <c r="C3" s="201"/>
      <c r="D3" s="201"/>
      <c r="E3" s="19" t="s">
        <v>2</v>
      </c>
      <c r="F3" s="56" t="s">
        <v>3</v>
      </c>
      <c r="G3" s="20"/>
      <c r="I3" s="55" t="s">
        <v>33</v>
      </c>
      <c r="K3" s="32" t="s">
        <v>26</v>
      </c>
      <c r="L3" s="52" t="s">
        <v>25</v>
      </c>
      <c r="M3" s="53" t="s">
        <v>13</v>
      </c>
      <c r="N3" s="53" t="s">
        <v>10</v>
      </c>
      <c r="O3" s="54" t="s">
        <v>22</v>
      </c>
      <c r="P3" s="33" t="s">
        <v>23</v>
      </c>
      <c r="R3" s="32" t="s">
        <v>26</v>
      </c>
      <c r="S3" s="52" t="s">
        <v>25</v>
      </c>
      <c r="T3" s="53" t="s">
        <v>13</v>
      </c>
      <c r="U3" s="53" t="s">
        <v>10</v>
      </c>
      <c r="V3" s="54" t="s">
        <v>22</v>
      </c>
      <c r="W3" s="33" t="s">
        <v>23</v>
      </c>
      <c r="Y3" s="244" t="s">
        <v>31</v>
      </c>
      <c r="Z3" s="245" t="s">
        <v>25</v>
      </c>
      <c r="AA3" s="246" t="s">
        <v>28</v>
      </c>
      <c r="AB3" s="247" t="s">
        <v>24</v>
      </c>
      <c r="AC3" s="246" t="s">
        <v>10</v>
      </c>
      <c r="AD3" s="248" t="s">
        <v>22</v>
      </c>
      <c r="AE3" s="249" t="s">
        <v>23</v>
      </c>
      <c r="AG3" s="48" t="s">
        <v>31</v>
      </c>
      <c r="AH3" s="52" t="s">
        <v>25</v>
      </c>
      <c r="AI3" s="53" t="s">
        <v>28</v>
      </c>
      <c r="AJ3" s="58" t="s">
        <v>24</v>
      </c>
      <c r="AK3" s="53" t="s">
        <v>10</v>
      </c>
      <c r="AL3" s="54" t="s">
        <v>22</v>
      </c>
      <c r="AM3" s="33" t="s">
        <v>23</v>
      </c>
      <c r="AO3" s="48" t="s">
        <v>31</v>
      </c>
      <c r="AP3" s="52" t="s">
        <v>142</v>
      </c>
      <c r="AQ3" s="53" t="s">
        <v>28</v>
      </c>
      <c r="AR3" s="53" t="s">
        <v>10</v>
      </c>
      <c r="AS3" s="54" t="s">
        <v>22</v>
      </c>
      <c r="AT3" s="33" t="s">
        <v>23</v>
      </c>
      <c r="AV3" s="48" t="s">
        <v>31</v>
      </c>
      <c r="AW3" s="52" t="s">
        <v>142</v>
      </c>
      <c r="AX3" s="53" t="s">
        <v>28</v>
      </c>
      <c r="AY3" s="53" t="s">
        <v>10</v>
      </c>
      <c r="AZ3" s="54" t="s">
        <v>22</v>
      </c>
      <c r="BA3" s="33" t="s">
        <v>23</v>
      </c>
      <c r="BC3" s="200" t="s">
        <v>20</v>
      </c>
      <c r="BD3" s="201"/>
      <c r="BE3" s="201"/>
      <c r="BF3" s="57" t="s">
        <v>2</v>
      </c>
      <c r="BG3" s="56" t="s">
        <v>3</v>
      </c>
      <c r="BH3" s="20"/>
    </row>
    <row r="4" spans="2:60" x14ac:dyDescent="0.25">
      <c r="B4" s="17" t="s">
        <v>0</v>
      </c>
      <c r="C4" s="21"/>
      <c r="D4" s="21">
        <v>2259.1999999999998</v>
      </c>
      <c r="E4" s="22" t="s">
        <v>4</v>
      </c>
      <c r="F4" s="22" t="s">
        <v>4</v>
      </c>
      <c r="G4" s="20"/>
      <c r="I4" s="3">
        <v>2000</v>
      </c>
      <c r="J4" s="1"/>
      <c r="K4" s="34">
        <v>157.22999999999999</v>
      </c>
      <c r="L4" s="41"/>
      <c r="M4" s="1"/>
      <c r="N4" s="16" t="s">
        <v>14</v>
      </c>
      <c r="O4" s="42">
        <v>0</v>
      </c>
      <c r="P4" s="35">
        <f>$I4-K4</f>
        <v>1842.77</v>
      </c>
      <c r="Q4" s="1"/>
      <c r="R4" s="34">
        <v>157.22999999999999</v>
      </c>
      <c r="S4" s="41"/>
      <c r="T4" s="1"/>
      <c r="U4" s="16" t="s">
        <v>14</v>
      </c>
      <c r="V4" s="42">
        <v>0</v>
      </c>
      <c r="W4" s="35">
        <f>$I4-R4</f>
        <v>1842.77</v>
      </c>
      <c r="X4" s="1"/>
      <c r="Y4" s="250">
        <v>155.68</v>
      </c>
      <c r="Z4" s="251"/>
      <c r="AA4" s="252"/>
      <c r="AB4" s="252"/>
      <c r="AC4" s="253" t="s">
        <v>14</v>
      </c>
      <c r="AD4" s="254">
        <v>0</v>
      </c>
      <c r="AE4" s="255">
        <f>$I4-Y4</f>
        <v>1844.32</v>
      </c>
      <c r="AF4" s="1"/>
      <c r="AG4" s="34">
        <v>155.68</v>
      </c>
      <c r="AH4" s="41"/>
      <c r="AI4" s="1"/>
      <c r="AJ4" s="1"/>
      <c r="AK4" s="16" t="s">
        <v>14</v>
      </c>
      <c r="AL4" s="42">
        <v>0</v>
      </c>
      <c r="AM4" s="35">
        <f t="shared" ref="AM4:AM17" si="0">$I4-AG4</f>
        <v>1844.32</v>
      </c>
      <c r="AN4" s="1"/>
      <c r="AO4" s="34">
        <v>155.68</v>
      </c>
      <c r="AP4" s="41"/>
      <c r="AQ4" s="1"/>
      <c r="AR4" s="16" t="s">
        <v>14</v>
      </c>
      <c r="AS4" s="42">
        <v>0</v>
      </c>
      <c r="AT4" s="35">
        <f t="shared" ref="AT4:AT28" si="1">$I4-AO4</f>
        <v>1844.32</v>
      </c>
      <c r="AU4" s="1"/>
      <c r="AV4" s="34">
        <v>155.68</v>
      </c>
      <c r="AW4" s="41"/>
      <c r="AX4" s="1"/>
      <c r="AY4" s="16" t="s">
        <v>14</v>
      </c>
      <c r="AZ4" s="42">
        <v>0</v>
      </c>
      <c r="BA4" s="35">
        <f t="shared" ref="BA4:BA28" si="2">$I4-AV4</f>
        <v>1844.32</v>
      </c>
      <c r="BC4" s="17" t="s">
        <v>0</v>
      </c>
      <c r="BD4" s="18"/>
      <c r="BE4" s="21">
        <v>3406.7914139999998</v>
      </c>
      <c r="BF4" s="22"/>
      <c r="BG4" s="22"/>
      <c r="BH4" s="20"/>
    </row>
    <row r="5" spans="2:60" x14ac:dyDescent="0.25">
      <c r="B5" s="17"/>
      <c r="C5" s="21"/>
      <c r="D5" s="22"/>
      <c r="E5" s="23" t="s">
        <v>15</v>
      </c>
      <c r="F5" s="21">
        <f>D4*0.25</f>
        <v>564.79999999999995</v>
      </c>
      <c r="G5" s="24"/>
      <c r="I5" s="3">
        <v>2500</v>
      </c>
      <c r="J5" s="1"/>
      <c r="K5" s="34">
        <v>202.23</v>
      </c>
      <c r="L5" s="163">
        <v>564.79999999999995</v>
      </c>
      <c r="M5" s="1">
        <f t="shared" ref="M5:M33" si="3">$I5-L5</f>
        <v>1935.2</v>
      </c>
      <c r="N5" s="16" t="s">
        <v>14</v>
      </c>
      <c r="O5" s="42">
        <v>0</v>
      </c>
      <c r="P5" s="35">
        <f t="shared" ref="P5:P6" si="4">$I5-K5</f>
        <v>2297.77</v>
      </c>
      <c r="Q5" s="1"/>
      <c r="R5" s="34">
        <v>202.23</v>
      </c>
      <c r="S5" s="163">
        <v>607.20000000000005</v>
      </c>
      <c r="T5" s="1">
        <f t="shared" ref="T5:T33" si="5">$I5-S5</f>
        <v>1892.8</v>
      </c>
      <c r="U5" s="16" t="s">
        <v>14</v>
      </c>
      <c r="V5" s="42">
        <v>0</v>
      </c>
      <c r="W5" s="35">
        <f t="shared" ref="W5:W6" si="6">$I5-R5</f>
        <v>2297.77</v>
      </c>
      <c r="X5" s="1"/>
      <c r="Y5" s="250">
        <v>200.68</v>
      </c>
      <c r="Z5" s="256">
        <v>607.20000000000005</v>
      </c>
      <c r="AA5" s="252">
        <f t="shared" ref="AA5:AA33" si="7">$I5-Z5</f>
        <v>1892.8</v>
      </c>
      <c r="AB5" s="252">
        <v>0</v>
      </c>
      <c r="AC5" s="253" t="s">
        <v>14</v>
      </c>
      <c r="AD5" s="254">
        <v>0</v>
      </c>
      <c r="AE5" s="255">
        <f>$I5-Y5</f>
        <v>2299.3200000000002</v>
      </c>
      <c r="AF5" s="1"/>
      <c r="AG5" s="34">
        <v>200.68</v>
      </c>
      <c r="AH5" s="41"/>
      <c r="AI5" s="1"/>
      <c r="AJ5" s="1"/>
      <c r="AK5" s="16" t="s">
        <v>14</v>
      </c>
      <c r="AL5" s="42">
        <v>0</v>
      </c>
      <c r="AM5" s="35">
        <f t="shared" si="0"/>
        <v>2299.3200000000002</v>
      </c>
      <c r="AN5" s="1"/>
      <c r="AO5" s="34">
        <v>200.68</v>
      </c>
      <c r="AP5" s="41"/>
      <c r="AQ5" s="1"/>
      <c r="AR5" s="16" t="s">
        <v>14</v>
      </c>
      <c r="AS5" s="42">
        <v>0</v>
      </c>
      <c r="AT5" s="35">
        <f t="shared" si="1"/>
        <v>2299.3200000000002</v>
      </c>
      <c r="AU5" s="1"/>
      <c r="AV5" s="34">
        <v>200.68</v>
      </c>
      <c r="AW5" s="41"/>
      <c r="AX5" s="1"/>
      <c r="AY5" s="16" t="s">
        <v>14</v>
      </c>
      <c r="AZ5" s="42">
        <v>0</v>
      </c>
      <c r="BA5" s="35">
        <f t="shared" si="2"/>
        <v>2299.3200000000002</v>
      </c>
      <c r="BC5" s="167"/>
      <c r="BD5" s="168"/>
      <c r="BE5" s="22"/>
      <c r="BF5" s="23" t="s">
        <v>15</v>
      </c>
      <c r="BG5" s="21">
        <f>BE4*0.25</f>
        <v>851.69785349999995</v>
      </c>
      <c r="BH5" s="24"/>
    </row>
    <row r="6" spans="2:60" x14ac:dyDescent="0.25">
      <c r="B6" s="17" t="s">
        <v>5</v>
      </c>
      <c r="C6" s="21"/>
      <c r="D6" s="18"/>
      <c r="E6" s="22"/>
      <c r="F6" s="22"/>
      <c r="G6" s="20"/>
      <c r="I6" s="3">
        <v>2900</v>
      </c>
      <c r="J6" s="1"/>
      <c r="K6" s="34">
        <v>241.41</v>
      </c>
      <c r="L6" s="163">
        <v>564.79999999999995</v>
      </c>
      <c r="M6" s="1">
        <f t="shared" si="3"/>
        <v>2335.1999999999998</v>
      </c>
      <c r="N6" s="1">
        <f>M6*$E$7-$F$7</f>
        <v>5.6999999999999886</v>
      </c>
      <c r="O6" s="42">
        <f>N6/$I6</f>
        <v>1.9655172413793063E-3</v>
      </c>
      <c r="P6" s="35">
        <f t="shared" si="4"/>
        <v>2658.59</v>
      </c>
      <c r="Q6" s="1"/>
      <c r="R6" s="34">
        <v>241.41</v>
      </c>
      <c r="S6" s="163">
        <v>607.20000000000005</v>
      </c>
      <c r="T6" s="1">
        <f t="shared" si="5"/>
        <v>2292.8000000000002</v>
      </c>
      <c r="U6" s="16" t="s">
        <v>14</v>
      </c>
      <c r="V6" s="42">
        <v>0</v>
      </c>
      <c r="W6" s="35">
        <f t="shared" si="6"/>
        <v>2658.59</v>
      </c>
      <c r="X6" s="1"/>
      <c r="Y6" s="250">
        <v>236.68</v>
      </c>
      <c r="Z6" s="256">
        <v>607.20000000000005</v>
      </c>
      <c r="AA6" s="252">
        <f t="shared" si="7"/>
        <v>2292.8000000000002</v>
      </c>
      <c r="AB6" s="252">
        <v>0</v>
      </c>
      <c r="AC6" s="253" t="s">
        <v>14</v>
      </c>
      <c r="AD6" s="254">
        <v>0</v>
      </c>
      <c r="AE6" s="255">
        <f t="shared" ref="AE6:AE11" si="8">$I6-Y6</f>
        <v>2663.32</v>
      </c>
      <c r="AF6" s="1"/>
      <c r="AG6" s="34">
        <v>236.68</v>
      </c>
      <c r="AH6" s="41"/>
      <c r="AI6" s="1"/>
      <c r="AJ6" s="1"/>
      <c r="AK6" s="16" t="s">
        <v>14</v>
      </c>
      <c r="AL6" s="42">
        <v>0</v>
      </c>
      <c r="AM6" s="35">
        <f t="shared" si="0"/>
        <v>2663.32</v>
      </c>
      <c r="AN6" s="1"/>
      <c r="AO6" s="34">
        <v>236.68</v>
      </c>
      <c r="AP6" s="41"/>
      <c r="AQ6" s="1"/>
      <c r="AR6" s="16" t="s">
        <v>14</v>
      </c>
      <c r="AS6" s="42">
        <v>0</v>
      </c>
      <c r="AT6" s="35">
        <f t="shared" si="1"/>
        <v>2663.32</v>
      </c>
      <c r="AU6" s="1"/>
      <c r="AV6" s="34">
        <v>236.68</v>
      </c>
      <c r="AW6" s="41"/>
      <c r="AX6" s="1"/>
      <c r="AY6" s="16" t="s">
        <v>14</v>
      </c>
      <c r="AZ6" s="42">
        <v>0</v>
      </c>
      <c r="BA6" s="35">
        <f t="shared" si="2"/>
        <v>2663.32</v>
      </c>
      <c r="BC6" s="17" t="s">
        <v>149</v>
      </c>
      <c r="BD6" s="18"/>
      <c r="BE6" s="21"/>
      <c r="BF6" s="162"/>
      <c r="BG6" s="21"/>
      <c r="BH6" s="20"/>
    </row>
    <row r="7" spans="2:60" x14ac:dyDescent="0.25">
      <c r="B7" s="17" t="s">
        <v>1</v>
      </c>
      <c r="C7" s="21">
        <v>2259.21</v>
      </c>
      <c r="D7" s="21">
        <v>2826.65</v>
      </c>
      <c r="E7" s="25">
        <v>7.4999999999999997E-2</v>
      </c>
      <c r="F7" s="21">
        <v>169.44</v>
      </c>
      <c r="G7" s="20"/>
      <c r="I7" s="3">
        <v>3000</v>
      </c>
      <c r="J7" s="1"/>
      <c r="K7" s="34">
        <v>253.41</v>
      </c>
      <c r="L7" s="163">
        <v>564.79999999999995</v>
      </c>
      <c r="M7" s="1">
        <f t="shared" si="3"/>
        <v>2435.1999999999998</v>
      </c>
      <c r="N7" s="1">
        <f>M7*$E$7-$F$7</f>
        <v>13.199999999999989</v>
      </c>
      <c r="O7" s="42">
        <f t="shared" ref="O7:O87" si="9">N7/$I7</f>
        <v>4.3999999999999959E-3</v>
      </c>
      <c r="P7" s="35">
        <f t="shared" ref="P7:P62" si="10">$I7-K7-N7</f>
        <v>2733.3900000000003</v>
      </c>
      <c r="Q7" s="1"/>
      <c r="R7" s="34">
        <v>253.41</v>
      </c>
      <c r="S7" s="163">
        <v>607.20000000000005</v>
      </c>
      <c r="T7" s="1">
        <f t="shared" si="5"/>
        <v>2392.8000000000002</v>
      </c>
      <c r="U7" s="16" t="s">
        <v>14</v>
      </c>
      <c r="V7" s="42">
        <v>0</v>
      </c>
      <c r="W7" s="35">
        <f>$I7-R7</f>
        <v>2746.59</v>
      </c>
      <c r="X7" s="1"/>
      <c r="Y7" s="250">
        <v>248.6</v>
      </c>
      <c r="Z7" s="256">
        <v>607.20000000000005</v>
      </c>
      <c r="AA7" s="252">
        <f t="shared" si="7"/>
        <v>2392.8000000000002</v>
      </c>
      <c r="AB7" s="252">
        <v>0</v>
      </c>
      <c r="AC7" s="253" t="s">
        <v>14</v>
      </c>
      <c r="AD7" s="254">
        <v>0</v>
      </c>
      <c r="AE7" s="255">
        <f t="shared" si="8"/>
        <v>2751.4</v>
      </c>
      <c r="AF7" s="1"/>
      <c r="AG7" s="34">
        <v>248.6</v>
      </c>
      <c r="AH7" s="41"/>
      <c r="AI7" s="1"/>
      <c r="AJ7" s="1"/>
      <c r="AK7" s="16" t="s">
        <v>14</v>
      </c>
      <c r="AL7" s="42">
        <v>0</v>
      </c>
      <c r="AM7" s="35">
        <f t="shared" si="0"/>
        <v>2751.4</v>
      </c>
      <c r="AN7" s="1"/>
      <c r="AO7" s="34">
        <v>248.6</v>
      </c>
      <c r="AP7" s="41"/>
      <c r="AQ7" s="1"/>
      <c r="AR7" s="16" t="s">
        <v>14</v>
      </c>
      <c r="AS7" s="42">
        <v>0</v>
      </c>
      <c r="AT7" s="35">
        <f t="shared" si="1"/>
        <v>2751.4</v>
      </c>
      <c r="AU7" s="1"/>
      <c r="AV7" s="34">
        <v>248.6</v>
      </c>
      <c r="AW7" s="41"/>
      <c r="AX7" s="1"/>
      <c r="AY7" s="16" t="s">
        <v>14</v>
      </c>
      <c r="AZ7" s="42">
        <v>0</v>
      </c>
      <c r="BA7" s="35">
        <f t="shared" si="2"/>
        <v>2751.4</v>
      </c>
      <c r="BC7" s="17" t="s">
        <v>1</v>
      </c>
      <c r="BD7" s="21">
        <f>BE4+0.01</f>
        <v>3406.801414</v>
      </c>
      <c r="BE7" s="21">
        <v>5057.7248449999997</v>
      </c>
      <c r="BF7" s="162">
        <v>7.4999999999999997E-2</v>
      </c>
      <c r="BG7" s="21">
        <v>255.50935604999998</v>
      </c>
      <c r="BH7" s="20"/>
    </row>
    <row r="8" spans="2:60" x14ac:dyDescent="0.25">
      <c r="B8" s="17" t="s">
        <v>1</v>
      </c>
      <c r="C8" s="21">
        <v>2826.66</v>
      </c>
      <c r="D8" s="21">
        <v>3751.05</v>
      </c>
      <c r="E8" s="25">
        <v>0.15</v>
      </c>
      <c r="F8" s="21">
        <v>381.44</v>
      </c>
      <c r="G8" s="20"/>
      <c r="I8" s="3">
        <v>3100</v>
      </c>
      <c r="J8" s="1"/>
      <c r="K8" s="34">
        <v>265.41000000000003</v>
      </c>
      <c r="L8" s="163">
        <v>564.79999999999995</v>
      </c>
      <c r="M8" s="1">
        <f t="shared" si="3"/>
        <v>2535.1999999999998</v>
      </c>
      <c r="N8" s="1">
        <f>M8*$E$7-$F$7</f>
        <v>20.699999999999989</v>
      </c>
      <c r="O8" s="42">
        <f t="shared" si="9"/>
        <v>6.6774193548387057E-3</v>
      </c>
      <c r="P8" s="35">
        <f t="shared" si="10"/>
        <v>2813.8900000000003</v>
      </c>
      <c r="Q8" s="1"/>
      <c r="R8" s="34">
        <v>265.41000000000003</v>
      </c>
      <c r="S8" s="163">
        <v>607.20000000000005</v>
      </c>
      <c r="T8" s="1">
        <f t="shared" si="5"/>
        <v>2492.8000000000002</v>
      </c>
      <c r="U8" s="1">
        <f>T8*$E$19-$F$19</f>
        <v>4.8000000000000114</v>
      </c>
      <c r="V8" s="42">
        <f t="shared" ref="V8:V88" si="11">U8/$I8</f>
        <v>1.5483870967741972E-3</v>
      </c>
      <c r="W8" s="35">
        <f t="shared" ref="W8:W83" si="12">$I8-R8-U8</f>
        <v>2829.79</v>
      </c>
      <c r="X8" s="1"/>
      <c r="Y8" s="250">
        <v>260.60000000000002</v>
      </c>
      <c r="Z8" s="256">
        <v>607.20000000000005</v>
      </c>
      <c r="AA8" s="252">
        <f t="shared" si="7"/>
        <v>2492.8000000000002</v>
      </c>
      <c r="AB8" s="252">
        <v>4.8</v>
      </c>
      <c r="AC8" s="252">
        <f>AA8*$E$19-$F$19-AB8</f>
        <v>1.1546319456101628E-14</v>
      </c>
      <c r="AD8" s="254">
        <v>0</v>
      </c>
      <c r="AE8" s="255">
        <f t="shared" si="8"/>
        <v>2839.4</v>
      </c>
      <c r="AF8" s="1"/>
      <c r="AG8" s="34">
        <v>260.60000000000002</v>
      </c>
      <c r="AH8" s="41"/>
      <c r="AI8" s="1"/>
      <c r="AJ8" s="1"/>
      <c r="AK8" s="16" t="s">
        <v>14</v>
      </c>
      <c r="AL8" s="42">
        <v>0</v>
      </c>
      <c r="AM8" s="35">
        <f t="shared" si="0"/>
        <v>2839.4</v>
      </c>
      <c r="AN8" s="1"/>
      <c r="AO8" s="34">
        <v>260.60000000000002</v>
      </c>
      <c r="AP8" s="41"/>
      <c r="AQ8" s="1"/>
      <c r="AR8" s="16" t="s">
        <v>14</v>
      </c>
      <c r="AS8" s="42">
        <v>0</v>
      </c>
      <c r="AT8" s="35">
        <f t="shared" si="1"/>
        <v>2839.4</v>
      </c>
      <c r="AU8" s="1"/>
      <c r="AV8" s="34">
        <v>260.60000000000002</v>
      </c>
      <c r="AW8" s="41"/>
      <c r="AX8" s="1"/>
      <c r="AY8" s="16" t="s">
        <v>14</v>
      </c>
      <c r="AZ8" s="42">
        <v>0</v>
      </c>
      <c r="BA8" s="35">
        <f t="shared" si="2"/>
        <v>2839.4</v>
      </c>
      <c r="BC8" s="17" t="s">
        <v>1</v>
      </c>
      <c r="BD8" s="21">
        <f>BE7+0.01</f>
        <v>5057.734845</v>
      </c>
      <c r="BE8" s="21">
        <v>6711.7537649999995</v>
      </c>
      <c r="BF8" s="162">
        <v>0.15</v>
      </c>
      <c r="BG8" s="21">
        <v>634.83871942499991</v>
      </c>
      <c r="BH8" s="29"/>
    </row>
    <row r="9" spans="2:60" x14ac:dyDescent="0.25">
      <c r="B9" s="17" t="s">
        <v>1</v>
      </c>
      <c r="C9" s="21">
        <v>3751.06</v>
      </c>
      <c r="D9" s="21">
        <v>4664.68</v>
      </c>
      <c r="E9" s="25">
        <v>0.22500000000000001</v>
      </c>
      <c r="F9" s="21">
        <v>662.77</v>
      </c>
      <c r="G9" s="20"/>
      <c r="I9" s="3">
        <v>3200</v>
      </c>
      <c r="J9" s="1"/>
      <c r="K9" s="34">
        <v>277.41000000000003</v>
      </c>
      <c r="L9" s="163">
        <v>564.79999999999995</v>
      </c>
      <c r="M9" s="1">
        <f t="shared" si="3"/>
        <v>2635.2</v>
      </c>
      <c r="N9" s="1">
        <f>M9*$E$7-$F$7</f>
        <v>28.199999999999989</v>
      </c>
      <c r="O9" s="42">
        <f t="shared" si="9"/>
        <v>8.8124999999999957E-3</v>
      </c>
      <c r="P9" s="35">
        <f t="shared" si="10"/>
        <v>2894.3900000000003</v>
      </c>
      <c r="Q9" s="1"/>
      <c r="R9" s="34">
        <v>277.41000000000003</v>
      </c>
      <c r="S9" s="163">
        <v>607.20000000000005</v>
      </c>
      <c r="T9" s="1">
        <f t="shared" si="5"/>
        <v>2592.8000000000002</v>
      </c>
      <c r="U9" s="1">
        <f>T9*$E$19-$F$19</f>
        <v>12.300000000000011</v>
      </c>
      <c r="V9" s="42">
        <f t="shared" si="11"/>
        <v>3.8437500000000034E-3</v>
      </c>
      <c r="W9" s="35">
        <f t="shared" si="12"/>
        <v>2910.29</v>
      </c>
      <c r="X9" s="1"/>
      <c r="Y9" s="250">
        <v>272.60000000000002</v>
      </c>
      <c r="Z9" s="256">
        <v>607.20000000000005</v>
      </c>
      <c r="AA9" s="252">
        <f t="shared" si="7"/>
        <v>2592.8000000000002</v>
      </c>
      <c r="AB9" s="252">
        <v>12.300000000000011</v>
      </c>
      <c r="AC9" s="252">
        <f>AA9*$E$19-$F$19-AB9</f>
        <v>0</v>
      </c>
      <c r="AD9" s="254">
        <v>0</v>
      </c>
      <c r="AE9" s="255">
        <f t="shared" si="8"/>
        <v>2927.4</v>
      </c>
      <c r="AF9" s="1"/>
      <c r="AG9" s="34">
        <v>272.60000000000002</v>
      </c>
      <c r="AH9" s="41"/>
      <c r="AI9" s="1"/>
      <c r="AJ9" s="1"/>
      <c r="AK9" s="16" t="s">
        <v>14</v>
      </c>
      <c r="AL9" s="42">
        <v>0</v>
      </c>
      <c r="AM9" s="35">
        <f t="shared" si="0"/>
        <v>2927.4</v>
      </c>
      <c r="AN9" s="1"/>
      <c r="AO9" s="34">
        <v>272.60000000000002</v>
      </c>
      <c r="AP9" s="41"/>
      <c r="AQ9" s="1"/>
      <c r="AR9" s="16" t="s">
        <v>14</v>
      </c>
      <c r="AS9" s="42">
        <v>0</v>
      </c>
      <c r="AT9" s="35">
        <f t="shared" si="1"/>
        <v>2927.4</v>
      </c>
      <c r="AU9" s="1"/>
      <c r="AV9" s="34">
        <v>272.60000000000002</v>
      </c>
      <c r="AW9" s="41"/>
      <c r="AX9" s="1"/>
      <c r="AY9" s="16" t="s">
        <v>14</v>
      </c>
      <c r="AZ9" s="42">
        <v>0</v>
      </c>
      <c r="BA9" s="35">
        <f t="shared" si="2"/>
        <v>2927.4</v>
      </c>
      <c r="BC9" s="17" t="s">
        <v>1</v>
      </c>
      <c r="BD9" s="21">
        <f>BE8+0.01</f>
        <v>6711.7637649999997</v>
      </c>
      <c r="BE9" s="21">
        <v>8346.5119240000004</v>
      </c>
      <c r="BF9" s="162">
        <v>0.22500000000000001</v>
      </c>
      <c r="BG9" s="21">
        <v>1138.2202517999999</v>
      </c>
      <c r="BH9" s="20"/>
    </row>
    <row r="10" spans="2:60" ht="15" customHeight="1" x14ac:dyDescent="0.25">
      <c r="B10" s="17" t="s">
        <v>6</v>
      </c>
      <c r="C10" s="21">
        <v>4664.6899999999996</v>
      </c>
      <c r="D10" s="21"/>
      <c r="E10" s="25">
        <v>0.27500000000000002</v>
      </c>
      <c r="F10" s="21">
        <v>896</v>
      </c>
      <c r="G10" s="20"/>
      <c r="I10" s="3">
        <v>3300</v>
      </c>
      <c r="J10" s="1"/>
      <c r="K10" s="34">
        <v>289.41000000000003</v>
      </c>
      <c r="L10" s="163">
        <v>564.79999999999995</v>
      </c>
      <c r="M10" s="1">
        <f t="shared" si="3"/>
        <v>2735.2</v>
      </c>
      <c r="N10" s="1">
        <f>M10*$E$7-$F$7</f>
        <v>35.699999999999989</v>
      </c>
      <c r="O10" s="42">
        <f t="shared" si="9"/>
        <v>1.0818181818181815E-2</v>
      </c>
      <c r="P10" s="35">
        <f t="shared" si="10"/>
        <v>2974.8900000000003</v>
      </c>
      <c r="Q10" s="1"/>
      <c r="R10" s="34">
        <v>289.41000000000003</v>
      </c>
      <c r="S10" s="163">
        <v>607.20000000000005</v>
      </c>
      <c r="T10" s="1">
        <f t="shared" si="5"/>
        <v>2692.8</v>
      </c>
      <c r="U10" s="1">
        <f>T10*$E$19-$F$19</f>
        <v>19.800000000000011</v>
      </c>
      <c r="V10" s="42">
        <f t="shared" si="11"/>
        <v>6.0000000000000036E-3</v>
      </c>
      <c r="W10" s="35">
        <f t="shared" si="12"/>
        <v>2990.79</v>
      </c>
      <c r="X10" s="1"/>
      <c r="Y10" s="250">
        <v>284.60000000000002</v>
      </c>
      <c r="Z10" s="256">
        <v>607.20000000000005</v>
      </c>
      <c r="AA10" s="252">
        <f t="shared" si="7"/>
        <v>2692.8</v>
      </c>
      <c r="AB10" s="252">
        <v>19.800000000000011</v>
      </c>
      <c r="AC10" s="252">
        <f>AA10*$E$19-$F$19-AB10</f>
        <v>0</v>
      </c>
      <c r="AD10" s="254">
        <v>0</v>
      </c>
      <c r="AE10" s="255">
        <f t="shared" si="8"/>
        <v>3015.4</v>
      </c>
      <c r="AF10" s="1"/>
      <c r="AG10" s="34">
        <v>284.60000000000002</v>
      </c>
      <c r="AH10" s="41"/>
      <c r="AI10" s="1"/>
      <c r="AJ10" s="1"/>
      <c r="AK10" s="16" t="s">
        <v>14</v>
      </c>
      <c r="AL10" s="42">
        <v>0</v>
      </c>
      <c r="AM10" s="35">
        <f t="shared" si="0"/>
        <v>3015.4</v>
      </c>
      <c r="AN10" s="1"/>
      <c r="AO10" s="34">
        <v>284.60000000000002</v>
      </c>
      <c r="AP10" s="41"/>
      <c r="AQ10" s="1"/>
      <c r="AR10" s="16" t="s">
        <v>14</v>
      </c>
      <c r="AS10" s="42">
        <v>0</v>
      </c>
      <c r="AT10" s="35">
        <f t="shared" si="1"/>
        <v>3015.4</v>
      </c>
      <c r="AU10" s="1"/>
      <c r="AV10" s="34">
        <v>284.60000000000002</v>
      </c>
      <c r="AW10" s="41"/>
      <c r="AX10" s="1"/>
      <c r="AY10" s="16" t="s">
        <v>14</v>
      </c>
      <c r="AZ10" s="42">
        <v>0</v>
      </c>
      <c r="BA10" s="35">
        <f t="shared" si="2"/>
        <v>3015.4</v>
      </c>
      <c r="BC10" s="17" t="s">
        <v>6</v>
      </c>
      <c r="BD10" s="21">
        <f>BE9+0.01</f>
        <v>8346.5219240000006</v>
      </c>
      <c r="BE10" s="21"/>
      <c r="BF10" s="162">
        <v>0.27500000000000002</v>
      </c>
      <c r="BG10" s="21">
        <v>1555.5458480000002</v>
      </c>
      <c r="BH10" s="20"/>
    </row>
    <row r="11" spans="2:60" ht="15" customHeight="1" thickBot="1" x14ac:dyDescent="0.3">
      <c r="B11" s="17" t="s">
        <v>17</v>
      </c>
      <c r="C11" s="18"/>
      <c r="E11" s="18"/>
      <c r="F11" s="18"/>
      <c r="G11" s="20"/>
      <c r="I11" s="3">
        <v>3400</v>
      </c>
      <c r="J11" s="1"/>
      <c r="K11" s="34">
        <v>301.41000000000003</v>
      </c>
      <c r="L11" s="163">
        <v>564.79999999999995</v>
      </c>
      <c r="M11" s="1">
        <f t="shared" si="3"/>
        <v>2835.2</v>
      </c>
      <c r="N11" s="1">
        <f t="shared" ref="N11:N20" si="13">M11*$E$8-$F$8</f>
        <v>43.839999999999975</v>
      </c>
      <c r="O11" s="42">
        <f t="shared" si="9"/>
        <v>1.2894117647058816E-2</v>
      </c>
      <c r="P11" s="35">
        <f t="shared" si="10"/>
        <v>3054.75</v>
      </c>
      <c r="Q11" s="1"/>
      <c r="R11" s="34">
        <v>301.41000000000003</v>
      </c>
      <c r="S11" s="163">
        <v>607.20000000000005</v>
      </c>
      <c r="T11" s="1">
        <f t="shared" si="5"/>
        <v>2792.8</v>
      </c>
      <c r="U11" s="1">
        <f>T11*$E$19-$F$19</f>
        <v>27.300000000000011</v>
      </c>
      <c r="V11" s="42">
        <f t="shared" si="11"/>
        <v>8.0294117647058856E-3</v>
      </c>
      <c r="W11" s="35">
        <f t="shared" si="12"/>
        <v>3071.29</v>
      </c>
      <c r="X11" s="1"/>
      <c r="Y11" s="250">
        <v>296.60000000000002</v>
      </c>
      <c r="Z11" s="256">
        <v>607.20000000000005</v>
      </c>
      <c r="AA11" s="252">
        <f t="shared" si="7"/>
        <v>2792.8</v>
      </c>
      <c r="AB11" s="252">
        <v>27.300000000000011</v>
      </c>
      <c r="AC11" s="252">
        <f>AA11*$E$19-$F$19-AB11</f>
        <v>0</v>
      </c>
      <c r="AD11" s="254">
        <v>0</v>
      </c>
      <c r="AE11" s="255">
        <f t="shared" si="8"/>
        <v>3103.4</v>
      </c>
      <c r="AF11" s="1"/>
      <c r="AG11" s="34">
        <v>296.60000000000002</v>
      </c>
      <c r="AH11" s="163">
        <f>$BG$5</f>
        <v>851.69785349999995</v>
      </c>
      <c r="AI11" s="1">
        <f t="shared" ref="AI11:AI68" si="14">$I11-AH11</f>
        <v>2548.3021465000002</v>
      </c>
      <c r="AJ11" s="1"/>
      <c r="AK11" s="16" t="s">
        <v>14</v>
      </c>
      <c r="AL11" s="42">
        <v>0</v>
      </c>
      <c r="AM11" s="35">
        <f t="shared" si="0"/>
        <v>3103.4</v>
      </c>
      <c r="AN11" s="1"/>
      <c r="AO11" s="34">
        <v>296.60000000000002</v>
      </c>
      <c r="AP11" s="41"/>
      <c r="AQ11" s="1"/>
      <c r="AR11" s="16" t="s">
        <v>14</v>
      </c>
      <c r="AS11" s="42">
        <v>0</v>
      </c>
      <c r="AT11" s="35">
        <f t="shared" si="1"/>
        <v>3103.4</v>
      </c>
      <c r="AU11" s="1"/>
      <c r="AV11" s="34">
        <v>296.60000000000002</v>
      </c>
      <c r="AW11" s="41"/>
      <c r="AX11" s="1"/>
      <c r="AY11" s="16" t="s">
        <v>14</v>
      </c>
      <c r="AZ11" s="42">
        <v>0</v>
      </c>
      <c r="BA11" s="35">
        <f t="shared" si="2"/>
        <v>3103.4</v>
      </c>
      <c r="BC11" s="26"/>
      <c r="BD11" s="2"/>
      <c r="BE11" s="2"/>
      <c r="BF11" s="2"/>
      <c r="BG11" s="2"/>
      <c r="BH11" s="28"/>
    </row>
    <row r="12" spans="2:60" ht="15" customHeight="1" thickBot="1" x14ac:dyDescent="0.3">
      <c r="B12" s="26"/>
      <c r="C12" s="27" t="s">
        <v>18</v>
      </c>
      <c r="D12" s="2"/>
      <c r="E12" s="2"/>
      <c r="F12" s="2"/>
      <c r="G12" s="28"/>
      <c r="I12" s="3">
        <v>3500</v>
      </c>
      <c r="J12" s="1"/>
      <c r="K12" s="34">
        <v>313.41000000000003</v>
      </c>
      <c r="L12" s="163">
        <v>564.79999999999995</v>
      </c>
      <c r="M12" s="1">
        <f t="shared" si="3"/>
        <v>2935.2</v>
      </c>
      <c r="N12" s="1">
        <f t="shared" si="13"/>
        <v>58.839999999999975</v>
      </c>
      <c r="O12" s="42">
        <f t="shared" si="9"/>
        <v>1.6811428571428564E-2</v>
      </c>
      <c r="P12" s="35">
        <f t="shared" si="10"/>
        <v>3127.75</v>
      </c>
      <c r="Q12" s="1"/>
      <c r="R12" s="34">
        <v>313.41000000000003</v>
      </c>
      <c r="S12" s="163">
        <v>607.20000000000005</v>
      </c>
      <c r="T12" s="1">
        <f t="shared" si="5"/>
        <v>2892.8</v>
      </c>
      <c r="U12" s="1">
        <f t="shared" ref="U12:U20" si="15">T12*$E$20-$F$20</f>
        <v>39.759999999999991</v>
      </c>
      <c r="V12" s="42">
        <f t="shared" si="11"/>
        <v>1.1359999999999997E-2</v>
      </c>
      <c r="W12" s="35">
        <f t="shared" si="12"/>
        <v>3146.83</v>
      </c>
      <c r="X12" s="1"/>
      <c r="Y12" s="250">
        <v>308.60000000000002</v>
      </c>
      <c r="Z12" s="256">
        <v>607.20000000000005</v>
      </c>
      <c r="AA12" s="252">
        <f t="shared" si="7"/>
        <v>2892.8</v>
      </c>
      <c r="AB12" s="252">
        <v>39.759999999999991</v>
      </c>
      <c r="AC12" s="252">
        <f t="shared" ref="AC12:AC20" si="16">AA12*$E$20-$F$20-AB12</f>
        <v>0</v>
      </c>
      <c r="AD12" s="254">
        <v>0</v>
      </c>
      <c r="AE12" s="255">
        <f>$I12-Y12</f>
        <v>3191.4</v>
      </c>
      <c r="AF12" s="1"/>
      <c r="AG12" s="34">
        <v>308.60000000000002</v>
      </c>
      <c r="AH12" s="163">
        <f t="shared" ref="AH12:AH59" si="17">$BG$5</f>
        <v>851.69785349999995</v>
      </c>
      <c r="AI12" s="1">
        <f t="shared" si="14"/>
        <v>2648.3021465000002</v>
      </c>
      <c r="AJ12" s="1"/>
      <c r="AK12" s="16" t="s">
        <v>14</v>
      </c>
      <c r="AL12" s="42">
        <v>0</v>
      </c>
      <c r="AM12" s="35">
        <f t="shared" si="0"/>
        <v>3191.4</v>
      </c>
      <c r="AN12" s="1"/>
      <c r="AO12" s="34">
        <v>308.60000000000002</v>
      </c>
      <c r="AP12" s="41"/>
      <c r="AQ12" s="1"/>
      <c r="AR12" s="16" t="s">
        <v>14</v>
      </c>
      <c r="AS12" s="42">
        <v>0</v>
      </c>
      <c r="AT12" s="35">
        <f t="shared" si="1"/>
        <v>3191.4</v>
      </c>
      <c r="AU12" s="1"/>
      <c r="AV12" s="34">
        <v>308.60000000000002</v>
      </c>
      <c r="AW12" s="41"/>
      <c r="AX12" s="1"/>
      <c r="AY12" s="16" t="s">
        <v>14</v>
      </c>
      <c r="AZ12" s="42">
        <v>0</v>
      </c>
      <c r="BA12" s="35">
        <f t="shared" si="2"/>
        <v>3191.4</v>
      </c>
    </row>
    <row r="13" spans="2:60" ht="15" customHeight="1" thickBot="1" x14ac:dyDescent="0.3">
      <c r="I13" s="3">
        <v>3600</v>
      </c>
      <c r="J13" s="1"/>
      <c r="K13" s="34">
        <v>325.41000000000003</v>
      </c>
      <c r="L13" s="163">
        <v>564.79999999999995</v>
      </c>
      <c r="M13" s="1">
        <f t="shared" si="3"/>
        <v>3035.2</v>
      </c>
      <c r="N13" s="1">
        <f t="shared" si="13"/>
        <v>73.839999999999975</v>
      </c>
      <c r="O13" s="42">
        <f t="shared" si="9"/>
        <v>2.0511111111111105E-2</v>
      </c>
      <c r="P13" s="35">
        <f t="shared" si="10"/>
        <v>3200.75</v>
      </c>
      <c r="Q13" s="1"/>
      <c r="R13" s="34">
        <v>325.41000000000003</v>
      </c>
      <c r="S13" s="163">
        <v>607.20000000000005</v>
      </c>
      <c r="T13" s="1">
        <f t="shared" si="5"/>
        <v>2992.8</v>
      </c>
      <c r="U13" s="1">
        <f t="shared" si="15"/>
        <v>54.759999999999991</v>
      </c>
      <c r="V13" s="42">
        <f t="shared" si="11"/>
        <v>1.5211111111111109E-2</v>
      </c>
      <c r="W13" s="35">
        <f t="shared" si="12"/>
        <v>3219.83</v>
      </c>
      <c r="X13" s="1"/>
      <c r="Y13" s="250">
        <v>320.60000000000002</v>
      </c>
      <c r="Z13" s="256">
        <v>607.20000000000005</v>
      </c>
      <c r="AA13" s="252">
        <f t="shared" si="7"/>
        <v>2992.8</v>
      </c>
      <c r="AB13" s="252">
        <v>54.759999999999991</v>
      </c>
      <c r="AC13" s="252">
        <f t="shared" si="16"/>
        <v>0</v>
      </c>
      <c r="AD13" s="254">
        <v>0</v>
      </c>
      <c r="AE13" s="255">
        <f t="shared" ref="AE13:AE16" si="18">$I13-Y13</f>
        <v>3279.4</v>
      </c>
      <c r="AF13" s="1"/>
      <c r="AG13" s="34">
        <v>320.60000000000002</v>
      </c>
      <c r="AH13" s="163">
        <f t="shared" si="17"/>
        <v>851.69785349999995</v>
      </c>
      <c r="AI13" s="1">
        <f t="shared" si="14"/>
        <v>2748.3021465000002</v>
      </c>
      <c r="AJ13" s="1"/>
      <c r="AK13" s="16" t="s">
        <v>14</v>
      </c>
      <c r="AL13" s="42">
        <v>0</v>
      </c>
      <c r="AM13" s="35">
        <f t="shared" si="0"/>
        <v>3279.4</v>
      </c>
      <c r="AN13" s="1"/>
      <c r="AO13" s="34">
        <v>320.60000000000002</v>
      </c>
      <c r="AP13" s="41"/>
      <c r="AQ13" s="1"/>
      <c r="AR13" s="16" t="s">
        <v>14</v>
      </c>
      <c r="AS13" s="42">
        <v>0</v>
      </c>
      <c r="AT13" s="35">
        <f t="shared" si="1"/>
        <v>3279.4</v>
      </c>
      <c r="AU13" s="1"/>
      <c r="AV13" s="34">
        <v>320.60000000000002</v>
      </c>
      <c r="AW13" s="41"/>
      <c r="AX13" s="1"/>
      <c r="AY13" s="16" t="s">
        <v>14</v>
      </c>
      <c r="AZ13" s="42">
        <v>0</v>
      </c>
      <c r="BA13" s="35">
        <f t="shared" si="2"/>
        <v>3279.4</v>
      </c>
    </row>
    <row r="14" spans="2:60" ht="15.75" x14ac:dyDescent="0.25">
      <c r="B14" s="225" t="s">
        <v>8</v>
      </c>
      <c r="C14" s="226"/>
      <c r="D14" s="226"/>
      <c r="E14" s="226"/>
      <c r="F14" s="226"/>
      <c r="G14" s="227"/>
      <c r="I14" s="3">
        <v>3700</v>
      </c>
      <c r="J14" s="1"/>
      <c r="K14" s="34">
        <v>337.41</v>
      </c>
      <c r="L14" s="163">
        <v>564.79999999999995</v>
      </c>
      <c r="M14" s="1">
        <f t="shared" si="3"/>
        <v>3135.2</v>
      </c>
      <c r="N14" s="1">
        <f t="shared" si="13"/>
        <v>88.839999999999975</v>
      </c>
      <c r="O14" s="42">
        <f t="shared" si="9"/>
        <v>2.4010810810810804E-2</v>
      </c>
      <c r="P14" s="35">
        <f t="shared" si="10"/>
        <v>3273.75</v>
      </c>
      <c r="Q14" s="1"/>
      <c r="R14" s="34">
        <v>337.41</v>
      </c>
      <c r="S14" s="163">
        <v>607.20000000000005</v>
      </c>
      <c r="T14" s="1">
        <f t="shared" si="5"/>
        <v>3092.8</v>
      </c>
      <c r="U14" s="1">
        <f t="shared" si="15"/>
        <v>69.759999999999991</v>
      </c>
      <c r="V14" s="42">
        <f t="shared" si="11"/>
        <v>1.8854054054054051E-2</v>
      </c>
      <c r="W14" s="35">
        <f t="shared" si="12"/>
        <v>3292.83</v>
      </c>
      <c r="X14" s="1"/>
      <c r="Y14" s="250">
        <v>332.6</v>
      </c>
      <c r="Z14" s="256">
        <v>607.20000000000005</v>
      </c>
      <c r="AA14" s="252">
        <f t="shared" si="7"/>
        <v>3092.8</v>
      </c>
      <c r="AB14" s="252">
        <v>69.759999999999991</v>
      </c>
      <c r="AC14" s="252">
        <f t="shared" si="16"/>
        <v>0</v>
      </c>
      <c r="AD14" s="254">
        <v>0</v>
      </c>
      <c r="AE14" s="255">
        <f t="shared" si="18"/>
        <v>3367.4</v>
      </c>
      <c r="AF14" s="1"/>
      <c r="AG14" s="34">
        <v>332.6</v>
      </c>
      <c r="AH14" s="163">
        <f t="shared" si="17"/>
        <v>851.69785349999995</v>
      </c>
      <c r="AI14" s="1">
        <f t="shared" si="14"/>
        <v>2848.3021465000002</v>
      </c>
      <c r="AJ14" s="1"/>
      <c r="AK14" s="16" t="s">
        <v>14</v>
      </c>
      <c r="AL14" s="42">
        <v>0</v>
      </c>
      <c r="AM14" s="35">
        <f t="shared" si="0"/>
        <v>3367.4</v>
      </c>
      <c r="AN14" s="1"/>
      <c r="AO14" s="34">
        <v>332.6</v>
      </c>
      <c r="AP14" s="41"/>
      <c r="AQ14" s="1"/>
      <c r="AR14" s="16" t="s">
        <v>14</v>
      </c>
      <c r="AS14" s="42">
        <v>0</v>
      </c>
      <c r="AT14" s="35">
        <f t="shared" si="1"/>
        <v>3367.4</v>
      </c>
      <c r="AU14" s="1"/>
      <c r="AV14" s="34">
        <v>332.6</v>
      </c>
      <c r="AW14" s="41"/>
      <c r="AX14" s="1"/>
      <c r="AY14" s="16" t="s">
        <v>14</v>
      </c>
      <c r="AZ14" s="42">
        <v>0</v>
      </c>
      <c r="BA14" s="35">
        <f t="shared" si="2"/>
        <v>3367.4</v>
      </c>
      <c r="BC14" s="225" t="s">
        <v>140</v>
      </c>
      <c r="BD14" s="226"/>
      <c r="BE14" s="226"/>
      <c r="BF14" s="226"/>
      <c r="BG14" s="226"/>
      <c r="BH14" s="227"/>
    </row>
    <row r="15" spans="2:60" ht="16.5" customHeight="1" x14ac:dyDescent="0.25">
      <c r="B15" s="210" t="s">
        <v>20</v>
      </c>
      <c r="C15" s="209"/>
      <c r="D15" s="209"/>
      <c r="E15" s="57" t="s">
        <v>2</v>
      </c>
      <c r="F15" s="211" t="s">
        <v>3</v>
      </c>
      <c r="G15" s="212"/>
      <c r="I15" s="3">
        <v>3800</v>
      </c>
      <c r="J15" s="1"/>
      <c r="K15" s="34">
        <v>349.41</v>
      </c>
      <c r="L15" s="163">
        <v>564.79999999999995</v>
      </c>
      <c r="M15" s="1">
        <f t="shared" si="3"/>
        <v>3235.2</v>
      </c>
      <c r="N15" s="1">
        <f t="shared" si="13"/>
        <v>103.83999999999997</v>
      </c>
      <c r="O15" s="42">
        <f t="shared" si="9"/>
        <v>2.7326315789473678E-2</v>
      </c>
      <c r="P15" s="35">
        <f t="shared" si="10"/>
        <v>3346.75</v>
      </c>
      <c r="Q15" s="1"/>
      <c r="R15" s="34">
        <v>349.41</v>
      </c>
      <c r="S15" s="163">
        <v>607.20000000000005</v>
      </c>
      <c r="T15" s="1">
        <f t="shared" si="5"/>
        <v>3192.8</v>
      </c>
      <c r="U15" s="1">
        <f t="shared" si="15"/>
        <v>84.759999999999991</v>
      </c>
      <c r="V15" s="42">
        <f t="shared" si="11"/>
        <v>2.2305263157894734E-2</v>
      </c>
      <c r="W15" s="35">
        <f t="shared" si="12"/>
        <v>3365.83</v>
      </c>
      <c r="X15" s="1"/>
      <c r="Y15" s="250">
        <v>344.6</v>
      </c>
      <c r="Z15" s="256">
        <v>607.20000000000005</v>
      </c>
      <c r="AA15" s="252">
        <f t="shared" si="7"/>
        <v>3192.8</v>
      </c>
      <c r="AB15" s="252">
        <v>84.759999999999991</v>
      </c>
      <c r="AC15" s="252">
        <f t="shared" si="16"/>
        <v>0</v>
      </c>
      <c r="AD15" s="254">
        <v>0</v>
      </c>
      <c r="AE15" s="255">
        <f t="shared" si="18"/>
        <v>3455.4</v>
      </c>
      <c r="AF15" s="1"/>
      <c r="AG15" s="34">
        <v>344.6</v>
      </c>
      <c r="AH15" s="163">
        <f t="shared" si="17"/>
        <v>851.69785349999995</v>
      </c>
      <c r="AI15" s="1">
        <f t="shared" si="14"/>
        <v>2948.3021465000002</v>
      </c>
      <c r="AJ15" s="1"/>
      <c r="AK15" s="16" t="s">
        <v>14</v>
      </c>
      <c r="AL15" s="42">
        <v>0</v>
      </c>
      <c r="AM15" s="35">
        <f t="shared" si="0"/>
        <v>3455.4</v>
      </c>
      <c r="AN15" s="1"/>
      <c r="AO15" s="34">
        <v>344.6</v>
      </c>
      <c r="AP15" s="41"/>
      <c r="AQ15" s="1"/>
      <c r="AR15" s="16" t="s">
        <v>14</v>
      </c>
      <c r="AS15" s="42">
        <v>0</v>
      </c>
      <c r="AT15" s="35">
        <f t="shared" si="1"/>
        <v>3455.4</v>
      </c>
      <c r="AU15" s="1"/>
      <c r="AV15" s="34">
        <v>344.6</v>
      </c>
      <c r="AW15" s="41"/>
      <c r="AX15" s="1"/>
      <c r="AY15" s="16" t="s">
        <v>14</v>
      </c>
      <c r="AZ15" s="42">
        <v>0</v>
      </c>
      <c r="BA15" s="35">
        <f t="shared" si="2"/>
        <v>3455.4</v>
      </c>
      <c r="BC15" s="210" t="s">
        <v>20</v>
      </c>
      <c r="BD15" s="209"/>
      <c r="BE15" s="209"/>
      <c r="BF15" s="57" t="s">
        <v>2</v>
      </c>
      <c r="BG15" s="211" t="s">
        <v>3</v>
      </c>
      <c r="BH15" s="212"/>
    </row>
    <row r="16" spans="2:60" ht="15" customHeight="1" x14ac:dyDescent="0.25">
      <c r="B16" s="17" t="s">
        <v>0</v>
      </c>
      <c r="C16" s="21"/>
      <c r="D16" s="21">
        <v>2428.8000000000002</v>
      </c>
      <c r="E16" s="22" t="s">
        <v>4</v>
      </c>
      <c r="F16" s="22" t="s">
        <v>4</v>
      </c>
      <c r="G16" s="20"/>
      <c r="I16" s="3">
        <v>3900</v>
      </c>
      <c r="J16" s="1"/>
      <c r="K16" s="34">
        <v>361.41</v>
      </c>
      <c r="L16" s="163">
        <v>564.79999999999995</v>
      </c>
      <c r="M16" s="1">
        <f t="shared" si="3"/>
        <v>3335.2</v>
      </c>
      <c r="N16" s="1">
        <f t="shared" si="13"/>
        <v>118.83999999999997</v>
      </c>
      <c r="O16" s="42">
        <f t="shared" si="9"/>
        <v>3.0471794871794865E-2</v>
      </c>
      <c r="P16" s="35">
        <f t="shared" si="10"/>
        <v>3419.75</v>
      </c>
      <c r="Q16" s="1"/>
      <c r="R16" s="34">
        <v>361.41</v>
      </c>
      <c r="S16" s="163">
        <v>607.20000000000005</v>
      </c>
      <c r="T16" s="1">
        <f t="shared" si="5"/>
        <v>3292.8</v>
      </c>
      <c r="U16" s="1">
        <f t="shared" si="15"/>
        <v>99.759999999999991</v>
      </c>
      <c r="V16" s="42">
        <f t="shared" si="11"/>
        <v>2.5579487179487177E-2</v>
      </c>
      <c r="W16" s="35">
        <f t="shared" si="12"/>
        <v>3438.83</v>
      </c>
      <c r="X16" s="1"/>
      <c r="Y16" s="250">
        <v>356.6</v>
      </c>
      <c r="Z16" s="256">
        <v>607.20000000000005</v>
      </c>
      <c r="AA16" s="252">
        <f t="shared" si="7"/>
        <v>3292.8</v>
      </c>
      <c r="AB16" s="252">
        <v>99.759999999999991</v>
      </c>
      <c r="AC16" s="252">
        <f t="shared" si="16"/>
        <v>0</v>
      </c>
      <c r="AD16" s="254">
        <v>0</v>
      </c>
      <c r="AE16" s="255">
        <f t="shared" si="18"/>
        <v>3543.4</v>
      </c>
      <c r="AF16" s="1"/>
      <c r="AG16" s="34">
        <v>356.6</v>
      </c>
      <c r="AH16" s="163">
        <f t="shared" si="17"/>
        <v>851.69785349999995</v>
      </c>
      <c r="AI16" s="1">
        <f t="shared" si="14"/>
        <v>3048.3021465000002</v>
      </c>
      <c r="AJ16" s="1"/>
      <c r="AK16" s="16" t="s">
        <v>14</v>
      </c>
      <c r="AL16" s="42">
        <v>0</v>
      </c>
      <c r="AM16" s="35">
        <f t="shared" si="0"/>
        <v>3543.4</v>
      </c>
      <c r="AN16" s="1"/>
      <c r="AO16" s="34">
        <v>356.6</v>
      </c>
      <c r="AP16" s="41"/>
      <c r="AQ16" s="1"/>
      <c r="AR16" s="16" t="s">
        <v>14</v>
      </c>
      <c r="AS16" s="42">
        <v>0</v>
      </c>
      <c r="AT16" s="35">
        <f t="shared" si="1"/>
        <v>3543.4</v>
      </c>
      <c r="AU16" s="1"/>
      <c r="AV16" s="34">
        <v>356.6</v>
      </c>
      <c r="AW16" s="41"/>
      <c r="AX16" s="1"/>
      <c r="AY16" s="16" t="s">
        <v>14</v>
      </c>
      <c r="AZ16" s="42">
        <v>0</v>
      </c>
      <c r="BA16" s="35">
        <f t="shared" si="2"/>
        <v>3543.4</v>
      </c>
      <c r="BC16" s="17" t="s">
        <v>0</v>
      </c>
      <c r="BD16" s="21"/>
      <c r="BE16" s="21">
        <v>4000</v>
      </c>
      <c r="BF16" s="162">
        <v>0</v>
      </c>
      <c r="BG16" s="18"/>
      <c r="BH16" s="20"/>
    </row>
    <row r="17" spans="2:60" ht="15" customHeight="1" x14ac:dyDescent="0.25">
      <c r="B17" s="17"/>
      <c r="C17" s="21"/>
      <c r="D17" s="22"/>
      <c r="E17" s="23" t="s">
        <v>15</v>
      </c>
      <c r="F17" s="21">
        <f>D16*0.25</f>
        <v>607.20000000000005</v>
      </c>
      <c r="G17" s="24"/>
      <c r="I17" s="3">
        <v>4000</v>
      </c>
      <c r="J17" s="1"/>
      <c r="K17" s="34">
        <v>373.41</v>
      </c>
      <c r="L17" s="163">
        <v>564.79999999999995</v>
      </c>
      <c r="M17" s="1">
        <f t="shared" si="3"/>
        <v>3435.2</v>
      </c>
      <c r="N17" s="1">
        <f t="shared" si="13"/>
        <v>133.83999999999997</v>
      </c>
      <c r="O17" s="42">
        <f t="shared" si="9"/>
        <v>3.3459999999999997E-2</v>
      </c>
      <c r="P17" s="35">
        <f t="shared" si="10"/>
        <v>3492.75</v>
      </c>
      <c r="Q17" s="1"/>
      <c r="R17" s="34">
        <v>373.41</v>
      </c>
      <c r="S17" s="163">
        <v>607.20000000000005</v>
      </c>
      <c r="T17" s="1">
        <f t="shared" si="5"/>
        <v>3392.8</v>
      </c>
      <c r="U17" s="1">
        <f t="shared" si="15"/>
        <v>114.75999999999999</v>
      </c>
      <c r="V17" s="42">
        <f t="shared" si="11"/>
        <v>2.8689999999999997E-2</v>
      </c>
      <c r="W17" s="35">
        <f t="shared" si="12"/>
        <v>3511.83</v>
      </c>
      <c r="X17" s="1"/>
      <c r="Y17" s="250">
        <v>368.6</v>
      </c>
      <c r="Z17" s="256">
        <v>607.20000000000005</v>
      </c>
      <c r="AA17" s="252">
        <f t="shared" si="7"/>
        <v>3392.8</v>
      </c>
      <c r="AB17" s="252">
        <v>114.75999999999999</v>
      </c>
      <c r="AC17" s="252">
        <f t="shared" si="16"/>
        <v>0</v>
      </c>
      <c r="AD17" s="254">
        <v>0</v>
      </c>
      <c r="AE17" s="255">
        <f>$I17-Y17-AC17</f>
        <v>3631.4</v>
      </c>
      <c r="AF17" s="1"/>
      <c r="AG17" s="34">
        <v>368.6</v>
      </c>
      <c r="AH17" s="163">
        <f t="shared" si="17"/>
        <v>851.69785349999995</v>
      </c>
      <c r="AI17" s="1">
        <f t="shared" si="14"/>
        <v>3148.3021465000002</v>
      </c>
      <c r="AJ17" s="1"/>
      <c r="AK17" s="16" t="s">
        <v>14</v>
      </c>
      <c r="AL17" s="42">
        <v>0</v>
      </c>
      <c r="AM17" s="35">
        <f t="shared" si="0"/>
        <v>3631.4</v>
      </c>
      <c r="AN17" s="1"/>
      <c r="AO17" s="34">
        <v>368.6</v>
      </c>
      <c r="AP17" s="41"/>
      <c r="AQ17" s="1"/>
      <c r="AR17" s="16" t="s">
        <v>14</v>
      </c>
      <c r="AS17" s="42">
        <v>0</v>
      </c>
      <c r="AT17" s="35">
        <f t="shared" si="1"/>
        <v>3631.4</v>
      </c>
      <c r="AU17" s="1"/>
      <c r="AV17" s="34">
        <v>368.6</v>
      </c>
      <c r="AW17" s="41"/>
      <c r="AX17" s="1"/>
      <c r="AY17" s="16" t="s">
        <v>14</v>
      </c>
      <c r="AZ17" s="42">
        <v>0</v>
      </c>
      <c r="BA17" s="35">
        <f t="shared" si="2"/>
        <v>3631.4</v>
      </c>
      <c r="BC17" s="169"/>
      <c r="BE17" s="23" t="s">
        <v>15</v>
      </c>
      <c r="BF17" s="170" t="s">
        <v>146</v>
      </c>
      <c r="BH17" s="24"/>
    </row>
    <row r="18" spans="2:60" ht="15" customHeight="1" x14ac:dyDescent="0.25">
      <c r="B18" s="17" t="s">
        <v>9</v>
      </c>
      <c r="C18" s="18"/>
      <c r="D18" s="18"/>
      <c r="E18" s="18"/>
      <c r="F18" s="18"/>
      <c r="G18" s="20"/>
      <c r="H18" s="1"/>
      <c r="I18" s="3">
        <v>4100</v>
      </c>
      <c r="J18" s="1"/>
      <c r="K18" s="34">
        <v>385.41</v>
      </c>
      <c r="L18" s="163">
        <v>564.79999999999995</v>
      </c>
      <c r="M18" s="1">
        <f t="shared" si="3"/>
        <v>3535.2</v>
      </c>
      <c r="N18" s="1">
        <f t="shared" si="13"/>
        <v>148.83999999999997</v>
      </c>
      <c r="O18" s="42">
        <f t="shared" si="9"/>
        <v>3.6302439024390239E-2</v>
      </c>
      <c r="P18" s="35">
        <f t="shared" si="10"/>
        <v>3565.75</v>
      </c>
      <c r="Q18" s="1"/>
      <c r="R18" s="34">
        <v>385.41</v>
      </c>
      <c r="S18" s="163">
        <v>607.20000000000005</v>
      </c>
      <c r="T18" s="1">
        <f t="shared" si="5"/>
        <v>3492.8</v>
      </c>
      <c r="U18" s="1">
        <f t="shared" si="15"/>
        <v>129.75999999999993</v>
      </c>
      <c r="V18" s="42">
        <f t="shared" si="11"/>
        <v>3.164878048780486E-2</v>
      </c>
      <c r="W18" s="35">
        <f t="shared" si="12"/>
        <v>3584.8300000000004</v>
      </c>
      <c r="X18" s="1"/>
      <c r="Y18" s="250">
        <v>380.6</v>
      </c>
      <c r="Z18" s="256">
        <v>607.20000000000005</v>
      </c>
      <c r="AA18" s="252">
        <f t="shared" si="7"/>
        <v>3492.8</v>
      </c>
      <c r="AB18" s="252">
        <v>129.76</v>
      </c>
      <c r="AC18" s="252">
        <f t="shared" si="16"/>
        <v>0</v>
      </c>
      <c r="AD18" s="254">
        <v>0</v>
      </c>
      <c r="AE18" s="255">
        <f>$I18-Y18-AC18</f>
        <v>3719.4</v>
      </c>
      <c r="AF18" s="1"/>
      <c r="AG18" s="34">
        <v>380.6</v>
      </c>
      <c r="AH18" s="163">
        <f t="shared" si="17"/>
        <v>851.69785349999995</v>
      </c>
      <c r="AI18" s="1">
        <f t="shared" si="14"/>
        <v>3248.3021465000002</v>
      </c>
      <c r="AJ18" s="1"/>
      <c r="AK18" s="16" t="s">
        <v>14</v>
      </c>
      <c r="AL18" s="42">
        <v>0</v>
      </c>
      <c r="AM18" s="35">
        <f t="shared" ref="AM18:AM19" si="19">$I18-AG18</f>
        <v>3719.4</v>
      </c>
      <c r="AN18" s="1"/>
      <c r="AO18" s="34">
        <v>380.6</v>
      </c>
      <c r="AP18" s="41"/>
      <c r="AQ18" s="1"/>
      <c r="AR18" s="16" t="s">
        <v>14</v>
      </c>
      <c r="AS18" s="42">
        <v>0</v>
      </c>
      <c r="AT18" s="35">
        <f t="shared" si="1"/>
        <v>3719.4</v>
      </c>
      <c r="AU18" s="1"/>
      <c r="AV18" s="34">
        <v>380.6</v>
      </c>
      <c r="AW18" s="41"/>
      <c r="AX18" s="1"/>
      <c r="AY18" s="16" t="s">
        <v>14</v>
      </c>
      <c r="AZ18" s="42">
        <v>0</v>
      </c>
      <c r="BA18" s="35">
        <f t="shared" si="2"/>
        <v>3719.4</v>
      </c>
      <c r="BC18" s="169"/>
      <c r="BH18" s="24"/>
    </row>
    <row r="19" spans="2:60" ht="15" customHeight="1" x14ac:dyDescent="0.25">
      <c r="B19" s="17" t="s">
        <v>1</v>
      </c>
      <c r="C19" s="21">
        <v>2428.81</v>
      </c>
      <c r="D19" s="21">
        <v>2826.65</v>
      </c>
      <c r="E19" s="25">
        <v>7.4999999999999997E-2</v>
      </c>
      <c r="F19" s="18">
        <v>182.16</v>
      </c>
      <c r="G19" s="20"/>
      <c r="I19" s="3">
        <v>4200</v>
      </c>
      <c r="J19" s="1"/>
      <c r="K19" s="34">
        <v>397.59</v>
      </c>
      <c r="L19" s="163">
        <v>564.79999999999995</v>
      </c>
      <c r="M19" s="1">
        <f t="shared" si="3"/>
        <v>3635.2</v>
      </c>
      <c r="N19" s="1">
        <f t="shared" si="13"/>
        <v>163.83999999999997</v>
      </c>
      <c r="O19" s="42">
        <f t="shared" si="9"/>
        <v>3.9009523809523806E-2</v>
      </c>
      <c r="P19" s="35">
        <f t="shared" si="10"/>
        <v>3638.5699999999997</v>
      </c>
      <c r="Q19" s="1"/>
      <c r="R19" s="34">
        <v>397.59</v>
      </c>
      <c r="S19" s="163">
        <v>607.20000000000005</v>
      </c>
      <c r="T19" s="1">
        <f t="shared" si="5"/>
        <v>3592.8</v>
      </c>
      <c r="U19" s="1">
        <f t="shared" si="15"/>
        <v>144.75999999999993</v>
      </c>
      <c r="V19" s="42">
        <f t="shared" si="11"/>
        <v>3.4466666666666652E-2</v>
      </c>
      <c r="W19" s="35">
        <f t="shared" si="12"/>
        <v>3657.65</v>
      </c>
      <c r="X19" s="1"/>
      <c r="Y19" s="250">
        <v>392.6</v>
      </c>
      <c r="Z19" s="256">
        <v>607.20000000000005</v>
      </c>
      <c r="AA19" s="252">
        <f t="shared" si="7"/>
        <v>3592.8</v>
      </c>
      <c r="AB19" s="252">
        <v>144.76</v>
      </c>
      <c r="AC19" s="252">
        <f t="shared" si="16"/>
        <v>0</v>
      </c>
      <c r="AD19" s="254">
        <v>0</v>
      </c>
      <c r="AE19" s="255">
        <f t="shared" ref="AE19:AE96" si="20">$I19-Y19-AC19</f>
        <v>3807.4</v>
      </c>
      <c r="AF19" s="1"/>
      <c r="AG19" s="34">
        <v>392.6</v>
      </c>
      <c r="AH19" s="163">
        <f t="shared" si="17"/>
        <v>851.69785349999995</v>
      </c>
      <c r="AI19" s="1">
        <f t="shared" si="14"/>
        <v>3348.3021465000002</v>
      </c>
      <c r="AJ19" s="1"/>
      <c r="AK19" s="16" t="s">
        <v>14</v>
      </c>
      <c r="AL19" s="42">
        <v>0</v>
      </c>
      <c r="AM19" s="35">
        <f t="shared" si="19"/>
        <v>3807.4</v>
      </c>
      <c r="AN19" s="1"/>
      <c r="AO19" s="34">
        <v>392.6</v>
      </c>
      <c r="AP19" s="41"/>
      <c r="AQ19" s="1"/>
      <c r="AR19" s="16" t="s">
        <v>14</v>
      </c>
      <c r="AS19" s="42">
        <v>0</v>
      </c>
      <c r="AT19" s="35">
        <f t="shared" si="1"/>
        <v>3807.4</v>
      </c>
      <c r="AU19" s="1"/>
      <c r="AV19" s="34">
        <v>392.6</v>
      </c>
      <c r="AW19" s="41"/>
      <c r="AX19" s="1"/>
      <c r="AY19" s="16" t="s">
        <v>14</v>
      </c>
      <c r="AZ19" s="42">
        <v>0</v>
      </c>
      <c r="BA19" s="35">
        <f t="shared" si="2"/>
        <v>3807.4</v>
      </c>
      <c r="BC19" s="17" t="s">
        <v>1</v>
      </c>
      <c r="BD19" s="21">
        <f>BE16+0.01</f>
        <v>4000.01</v>
      </c>
      <c r="BE19" s="21">
        <v>5938.4</v>
      </c>
      <c r="BF19" s="162">
        <v>7.4999999999999997E-2</v>
      </c>
      <c r="BG19" s="21">
        <v>300</v>
      </c>
      <c r="BH19" s="20"/>
    </row>
    <row r="20" spans="2:60" ht="15" customHeight="1" x14ac:dyDescent="0.25">
      <c r="B20" s="17" t="s">
        <v>1</v>
      </c>
      <c r="C20" s="21">
        <v>2826.66</v>
      </c>
      <c r="D20" s="21">
        <v>3751.05</v>
      </c>
      <c r="E20" s="25">
        <v>0.15</v>
      </c>
      <c r="F20" s="18">
        <v>394.16</v>
      </c>
      <c r="G20" s="29"/>
      <c r="I20" s="3">
        <v>4300</v>
      </c>
      <c r="J20" s="1"/>
      <c r="K20" s="34">
        <v>411.59</v>
      </c>
      <c r="L20" s="163">
        <v>564.79999999999995</v>
      </c>
      <c r="M20" s="1">
        <f t="shared" si="3"/>
        <v>3735.2</v>
      </c>
      <c r="N20" s="1">
        <f t="shared" si="13"/>
        <v>178.83999999999997</v>
      </c>
      <c r="O20" s="42">
        <f t="shared" si="9"/>
        <v>4.15906976744186E-2</v>
      </c>
      <c r="P20" s="35">
        <f t="shared" si="10"/>
        <v>3709.5699999999997</v>
      </c>
      <c r="Q20" s="1"/>
      <c r="R20" s="34">
        <v>411.59</v>
      </c>
      <c r="S20" s="163">
        <v>607.20000000000005</v>
      </c>
      <c r="T20" s="1">
        <f t="shared" si="5"/>
        <v>3692.8</v>
      </c>
      <c r="U20" s="1">
        <f t="shared" si="15"/>
        <v>159.75999999999993</v>
      </c>
      <c r="V20" s="42">
        <f t="shared" si="11"/>
        <v>3.7153488372093008E-2</v>
      </c>
      <c r="W20" s="35">
        <f t="shared" si="12"/>
        <v>3728.65</v>
      </c>
      <c r="X20" s="1"/>
      <c r="Y20" s="250">
        <v>404.6</v>
      </c>
      <c r="Z20" s="256">
        <v>607.20000000000005</v>
      </c>
      <c r="AA20" s="252">
        <f t="shared" si="7"/>
        <v>3692.8</v>
      </c>
      <c r="AB20" s="252">
        <v>159.76</v>
      </c>
      <c r="AC20" s="252">
        <f t="shared" si="16"/>
        <v>0</v>
      </c>
      <c r="AD20" s="254">
        <v>0</v>
      </c>
      <c r="AE20" s="255">
        <f t="shared" si="20"/>
        <v>3895.4</v>
      </c>
      <c r="AF20" s="1"/>
      <c r="AG20" s="34">
        <v>404.6</v>
      </c>
      <c r="AH20" s="163">
        <f t="shared" si="17"/>
        <v>851.69785349999995</v>
      </c>
      <c r="AI20" s="1">
        <f t="shared" si="14"/>
        <v>3448.3021465000002</v>
      </c>
      <c r="AJ20" s="1">
        <v>3.11</v>
      </c>
      <c r="AK20" s="1">
        <f>AI20*$BF$7-$BG$7-AJ20</f>
        <v>3.3049375000326897E-3</v>
      </c>
      <c r="AL20" s="42">
        <v>0</v>
      </c>
      <c r="AM20" s="35">
        <f t="shared" ref="AM20:AM83" si="21">$I20-AG20-AK20</f>
        <v>3895.3966950624999</v>
      </c>
      <c r="AN20" s="1"/>
      <c r="AO20" s="34">
        <v>404.6</v>
      </c>
      <c r="AP20" s="41"/>
      <c r="AQ20" s="1"/>
      <c r="AR20" s="16" t="s">
        <v>14</v>
      </c>
      <c r="AS20" s="42">
        <v>0</v>
      </c>
      <c r="AT20" s="35">
        <f t="shared" si="1"/>
        <v>3895.4</v>
      </c>
      <c r="AU20" s="1"/>
      <c r="AV20" s="34">
        <v>404.6</v>
      </c>
      <c r="AW20" s="41"/>
      <c r="AX20" s="1"/>
      <c r="AY20" s="16" t="s">
        <v>14</v>
      </c>
      <c r="AZ20" s="42">
        <v>0</v>
      </c>
      <c r="BA20" s="35">
        <f t="shared" si="2"/>
        <v>3895.4</v>
      </c>
      <c r="BB20" s="1"/>
      <c r="BC20" s="17" t="s">
        <v>1</v>
      </c>
      <c r="BD20" s="21">
        <f>BE19+0.01</f>
        <v>5938.41</v>
      </c>
      <c r="BE20" s="21">
        <v>7880.4399205874024</v>
      </c>
      <c r="BF20" s="162">
        <v>0.15</v>
      </c>
      <c r="BG20" s="21">
        <v>745.38020357356697</v>
      </c>
      <c r="BH20" s="29"/>
    </row>
    <row r="21" spans="2:60" ht="15" customHeight="1" x14ac:dyDescent="0.25">
      <c r="B21" s="17" t="s">
        <v>1</v>
      </c>
      <c r="C21" s="21">
        <v>3751.06</v>
      </c>
      <c r="D21" s="21">
        <v>4664.68</v>
      </c>
      <c r="E21" s="25">
        <v>0.22500000000000001</v>
      </c>
      <c r="F21" s="18">
        <v>675.49</v>
      </c>
      <c r="G21" s="20"/>
      <c r="I21" s="3">
        <v>4400</v>
      </c>
      <c r="J21" s="1"/>
      <c r="K21" s="34">
        <v>425.59</v>
      </c>
      <c r="L21" s="163">
        <v>564.79999999999995</v>
      </c>
      <c r="M21" s="1">
        <f t="shared" si="3"/>
        <v>3835.2</v>
      </c>
      <c r="N21" s="1">
        <f t="shared" ref="N21:N31" si="22">M21*$E$9-$F$9</f>
        <v>200.14999999999998</v>
      </c>
      <c r="O21" s="42">
        <f t="shared" si="9"/>
        <v>4.5488636363636356E-2</v>
      </c>
      <c r="P21" s="35">
        <f t="shared" si="10"/>
        <v>3774.2599999999998</v>
      </c>
      <c r="Q21" s="1"/>
      <c r="R21" s="34">
        <v>425.59</v>
      </c>
      <c r="S21" s="163">
        <v>607.20000000000005</v>
      </c>
      <c r="T21" s="1">
        <f t="shared" si="5"/>
        <v>3792.8</v>
      </c>
      <c r="U21" s="1">
        <f t="shared" ref="U21:U31" si="23">T21*$E$21-$F$21</f>
        <v>177.8900000000001</v>
      </c>
      <c r="V21" s="42">
        <f t="shared" si="11"/>
        <v>4.0429545454545475E-2</v>
      </c>
      <c r="W21" s="35">
        <f t="shared" si="12"/>
        <v>3796.5199999999995</v>
      </c>
      <c r="X21" s="1"/>
      <c r="Y21" s="250">
        <v>417.51</v>
      </c>
      <c r="Z21" s="256">
        <v>607.20000000000005</v>
      </c>
      <c r="AA21" s="252">
        <f t="shared" si="7"/>
        <v>3792.8</v>
      </c>
      <c r="AB21" s="252">
        <v>177.89</v>
      </c>
      <c r="AC21" s="252">
        <f t="shared" ref="AC21:AC32" si="24">AA21*$E$21-$F$21-AB21</f>
        <v>0</v>
      </c>
      <c r="AD21" s="254">
        <v>0</v>
      </c>
      <c r="AE21" s="255">
        <f t="shared" si="20"/>
        <v>3982.49</v>
      </c>
      <c r="AF21" s="1"/>
      <c r="AG21" s="34">
        <v>417.51</v>
      </c>
      <c r="AH21" s="163">
        <f t="shared" si="17"/>
        <v>851.69785349999995</v>
      </c>
      <c r="AI21" s="1">
        <f t="shared" si="14"/>
        <v>3548.3021465000002</v>
      </c>
      <c r="AJ21" s="1">
        <v>10.61</v>
      </c>
      <c r="AK21" s="1">
        <f t="shared" ref="AK21:AK42" si="25">AI21*$BF$7-$BG$7-AJ21</f>
        <v>3.3049375000331338E-3</v>
      </c>
      <c r="AL21" s="42">
        <v>0</v>
      </c>
      <c r="AM21" s="35">
        <f t="shared" si="21"/>
        <v>3982.4866950624996</v>
      </c>
      <c r="AN21" s="1"/>
      <c r="AO21" s="34">
        <v>417.51</v>
      </c>
      <c r="AP21" s="41"/>
      <c r="AQ21" s="1"/>
      <c r="AR21" s="16" t="s">
        <v>14</v>
      </c>
      <c r="AS21" s="42">
        <v>0</v>
      </c>
      <c r="AT21" s="35">
        <f t="shared" si="1"/>
        <v>3982.49</v>
      </c>
      <c r="AU21" s="1"/>
      <c r="AV21" s="34">
        <v>417.51</v>
      </c>
      <c r="AW21" s="41"/>
      <c r="AX21" s="1"/>
      <c r="AY21" s="16" t="s">
        <v>14</v>
      </c>
      <c r="AZ21" s="42">
        <v>0</v>
      </c>
      <c r="BA21" s="35">
        <f t="shared" si="2"/>
        <v>3982.49</v>
      </c>
      <c r="BB21" s="1"/>
      <c r="BC21" s="17" t="s">
        <v>1</v>
      </c>
      <c r="BD21" s="21">
        <f>BE20+0.01</f>
        <v>7880.4499205874026</v>
      </c>
      <c r="BE21" s="21">
        <v>9799.8508387693164</v>
      </c>
      <c r="BF21" s="162">
        <v>0.22500000000000001</v>
      </c>
      <c r="BG21" s="21">
        <v>1336.4131976176225</v>
      </c>
      <c r="BH21" s="20"/>
    </row>
    <row r="22" spans="2:60" ht="15" customHeight="1" x14ac:dyDescent="0.25">
      <c r="B22" s="17" t="s">
        <v>6</v>
      </c>
      <c r="C22" s="21">
        <v>4664.6899999999996</v>
      </c>
      <c r="D22" s="18"/>
      <c r="E22" s="25">
        <v>0.27500000000000002</v>
      </c>
      <c r="F22" s="18">
        <v>908.73</v>
      </c>
      <c r="G22" s="20"/>
      <c r="I22" s="3">
        <v>4500</v>
      </c>
      <c r="J22" s="1"/>
      <c r="K22" s="34">
        <v>439.59</v>
      </c>
      <c r="L22" s="163">
        <v>564.79999999999995</v>
      </c>
      <c r="M22" s="1">
        <f t="shared" si="3"/>
        <v>3935.2</v>
      </c>
      <c r="N22" s="1">
        <f t="shared" si="22"/>
        <v>222.64999999999998</v>
      </c>
      <c r="O22" s="42">
        <f t="shared" si="9"/>
        <v>4.9477777777777773E-2</v>
      </c>
      <c r="P22" s="35">
        <f t="shared" si="10"/>
        <v>3837.7599999999998</v>
      </c>
      <c r="Q22" s="1"/>
      <c r="R22" s="34">
        <v>439.59</v>
      </c>
      <c r="S22" s="163">
        <v>607.20000000000005</v>
      </c>
      <c r="T22" s="1">
        <f t="shared" si="5"/>
        <v>3892.8</v>
      </c>
      <c r="U22" s="1">
        <f t="shared" si="23"/>
        <v>200.3900000000001</v>
      </c>
      <c r="V22" s="42">
        <f t="shared" si="11"/>
        <v>4.4531111111111132E-2</v>
      </c>
      <c r="W22" s="35">
        <f t="shared" si="12"/>
        <v>3860.0199999999995</v>
      </c>
      <c r="X22" s="1"/>
      <c r="Y22" s="250">
        <v>431.51</v>
      </c>
      <c r="Z22" s="256">
        <v>607.20000000000005</v>
      </c>
      <c r="AA22" s="252">
        <f t="shared" si="7"/>
        <v>3892.8</v>
      </c>
      <c r="AB22" s="252">
        <v>200.39</v>
      </c>
      <c r="AC22" s="252">
        <f t="shared" si="24"/>
        <v>0</v>
      </c>
      <c r="AD22" s="254">
        <v>0</v>
      </c>
      <c r="AE22" s="255">
        <f t="shared" si="20"/>
        <v>4068.49</v>
      </c>
      <c r="AF22" s="1"/>
      <c r="AG22" s="34">
        <v>431.51</v>
      </c>
      <c r="AH22" s="163">
        <f t="shared" si="17"/>
        <v>851.69785349999995</v>
      </c>
      <c r="AI22" s="1">
        <f t="shared" si="14"/>
        <v>3648.3021465000002</v>
      </c>
      <c r="AJ22" s="1">
        <v>18.11</v>
      </c>
      <c r="AK22" s="1">
        <f t="shared" si="25"/>
        <v>3.3049375000331338E-3</v>
      </c>
      <c r="AL22" s="42">
        <v>0</v>
      </c>
      <c r="AM22" s="35">
        <f t="shared" si="21"/>
        <v>4068.4866950624996</v>
      </c>
      <c r="AN22" s="1"/>
      <c r="AO22" s="34">
        <v>431.51</v>
      </c>
      <c r="AP22" s="41"/>
      <c r="AQ22" s="1"/>
      <c r="AR22" s="16" t="s">
        <v>14</v>
      </c>
      <c r="AS22" s="42">
        <v>0</v>
      </c>
      <c r="AT22" s="35">
        <f t="shared" si="1"/>
        <v>4068.49</v>
      </c>
      <c r="AU22" s="1"/>
      <c r="AV22" s="34">
        <v>431.51</v>
      </c>
      <c r="AW22" s="41"/>
      <c r="AX22" s="1"/>
      <c r="AY22" s="16" t="s">
        <v>14</v>
      </c>
      <c r="AZ22" s="42">
        <v>0</v>
      </c>
      <c r="BA22" s="35">
        <f t="shared" si="2"/>
        <v>4068.49</v>
      </c>
      <c r="BB22" s="1"/>
      <c r="BC22" s="17" t="s">
        <v>6</v>
      </c>
      <c r="BD22" s="21">
        <f>BE21+0.01</f>
        <v>9799.8608387693166</v>
      </c>
      <c r="BE22" s="21"/>
      <c r="BF22" s="162">
        <v>0.27500000000000002</v>
      </c>
      <c r="BG22" s="21">
        <v>1826.4057395560883</v>
      </c>
      <c r="BH22" s="20"/>
    </row>
    <row r="23" spans="2:60" ht="15" customHeight="1" thickBot="1" x14ac:dyDescent="0.3">
      <c r="B23" s="17" t="s">
        <v>19</v>
      </c>
      <c r="D23" s="18"/>
      <c r="E23" s="18"/>
      <c r="F23" s="18"/>
      <c r="G23" s="20"/>
      <c r="I23" s="3">
        <v>4600</v>
      </c>
      <c r="J23" s="1"/>
      <c r="K23" s="34">
        <v>453.59</v>
      </c>
      <c r="L23" s="163">
        <v>564.79999999999995</v>
      </c>
      <c r="M23" s="1">
        <f t="shared" si="3"/>
        <v>4035.2</v>
      </c>
      <c r="N23" s="1">
        <f t="shared" si="22"/>
        <v>245.14999999999998</v>
      </c>
      <c r="O23" s="42">
        <f t="shared" si="9"/>
        <v>5.329347826086956E-2</v>
      </c>
      <c r="P23" s="35">
        <f t="shared" si="10"/>
        <v>3901.2599999999998</v>
      </c>
      <c r="Q23" s="1"/>
      <c r="R23" s="34">
        <v>453.59</v>
      </c>
      <c r="S23" s="163">
        <v>607.20000000000005</v>
      </c>
      <c r="T23" s="1">
        <f t="shared" si="5"/>
        <v>3992.8</v>
      </c>
      <c r="U23" s="1">
        <f t="shared" si="23"/>
        <v>222.8900000000001</v>
      </c>
      <c r="V23" s="42">
        <f t="shared" si="11"/>
        <v>4.8454347826086978E-2</v>
      </c>
      <c r="W23" s="35">
        <f t="shared" si="12"/>
        <v>3923.5199999999995</v>
      </c>
      <c r="X23" s="1"/>
      <c r="Y23" s="250">
        <v>445.51</v>
      </c>
      <c r="Z23" s="256">
        <v>607.20000000000005</v>
      </c>
      <c r="AA23" s="252">
        <f t="shared" si="7"/>
        <v>3992.8</v>
      </c>
      <c r="AB23" s="252">
        <v>222.89</v>
      </c>
      <c r="AC23" s="252">
        <f t="shared" si="24"/>
        <v>0</v>
      </c>
      <c r="AD23" s="254">
        <v>0</v>
      </c>
      <c r="AE23" s="255">
        <f t="shared" si="20"/>
        <v>4154.49</v>
      </c>
      <c r="AF23" s="1"/>
      <c r="AG23" s="34">
        <v>445.51</v>
      </c>
      <c r="AH23" s="163">
        <f t="shared" si="17"/>
        <v>851.69785349999995</v>
      </c>
      <c r="AI23" s="1">
        <f t="shared" si="14"/>
        <v>3748.3021465000002</v>
      </c>
      <c r="AJ23" s="1">
        <v>25.61</v>
      </c>
      <c r="AK23" s="1">
        <f t="shared" si="25"/>
        <v>3.3049375000331338E-3</v>
      </c>
      <c r="AL23" s="42">
        <v>0</v>
      </c>
      <c r="AM23" s="35">
        <f t="shared" si="21"/>
        <v>4154.4866950625001</v>
      </c>
      <c r="AN23" s="1"/>
      <c r="AO23" s="34">
        <v>445.51</v>
      </c>
      <c r="AP23" s="41"/>
      <c r="AQ23" s="1"/>
      <c r="AR23" s="16" t="s">
        <v>14</v>
      </c>
      <c r="AS23" s="42">
        <v>0</v>
      </c>
      <c r="AT23" s="35">
        <f t="shared" si="1"/>
        <v>4154.49</v>
      </c>
      <c r="AU23" s="1"/>
      <c r="AV23" s="34">
        <v>445.51</v>
      </c>
      <c r="AW23" s="41"/>
      <c r="AX23" s="1"/>
      <c r="AY23" s="16" t="s">
        <v>14</v>
      </c>
      <c r="AZ23" s="42">
        <v>0</v>
      </c>
      <c r="BA23" s="35">
        <f t="shared" si="2"/>
        <v>4154.49</v>
      </c>
      <c r="BB23" s="1"/>
      <c r="BC23" s="26"/>
      <c r="BD23" s="2"/>
      <c r="BE23" s="2"/>
      <c r="BF23" s="2"/>
      <c r="BG23" s="2"/>
      <c r="BH23" s="28"/>
    </row>
    <row r="24" spans="2:60" ht="15" customHeight="1" thickBot="1" x14ac:dyDescent="0.3">
      <c r="B24" s="26"/>
      <c r="C24" s="27" t="s">
        <v>21</v>
      </c>
      <c r="D24" s="2"/>
      <c r="E24" s="2"/>
      <c r="F24" s="2"/>
      <c r="G24" s="28"/>
      <c r="I24" s="3">
        <v>4700</v>
      </c>
      <c r="J24" s="1"/>
      <c r="K24" s="34">
        <v>467.59</v>
      </c>
      <c r="L24" s="163">
        <v>564.79999999999995</v>
      </c>
      <c r="M24" s="1">
        <f t="shared" si="3"/>
        <v>4135.2</v>
      </c>
      <c r="N24" s="1">
        <f t="shared" si="22"/>
        <v>267.64999999999998</v>
      </c>
      <c r="O24" s="42">
        <f t="shared" si="9"/>
        <v>5.694680851063829E-2</v>
      </c>
      <c r="P24" s="35">
        <f t="shared" si="10"/>
        <v>3964.7599999999998</v>
      </c>
      <c r="Q24" s="1"/>
      <c r="R24" s="34">
        <v>467.59</v>
      </c>
      <c r="S24" s="163">
        <v>607.20000000000005</v>
      </c>
      <c r="T24" s="1">
        <f t="shared" si="5"/>
        <v>4092.8</v>
      </c>
      <c r="U24" s="1">
        <f t="shared" si="23"/>
        <v>245.3900000000001</v>
      </c>
      <c r="V24" s="42">
        <f t="shared" si="11"/>
        <v>5.2210638297872362E-2</v>
      </c>
      <c r="W24" s="35">
        <f t="shared" si="12"/>
        <v>3987.0199999999995</v>
      </c>
      <c r="X24" s="1"/>
      <c r="Y24" s="250">
        <v>459.51</v>
      </c>
      <c r="Z24" s="256">
        <v>607.20000000000005</v>
      </c>
      <c r="AA24" s="252">
        <f t="shared" si="7"/>
        <v>4092.8</v>
      </c>
      <c r="AB24" s="252">
        <v>245.39</v>
      </c>
      <c r="AC24" s="252">
        <f t="shared" si="24"/>
        <v>0</v>
      </c>
      <c r="AD24" s="254">
        <v>0</v>
      </c>
      <c r="AE24" s="255">
        <f t="shared" si="20"/>
        <v>4240.49</v>
      </c>
      <c r="AF24" s="1"/>
      <c r="AG24" s="34">
        <v>459.51</v>
      </c>
      <c r="AH24" s="163">
        <f t="shared" si="17"/>
        <v>851.69785349999995</v>
      </c>
      <c r="AI24" s="1">
        <f t="shared" si="14"/>
        <v>3848.3021465000002</v>
      </c>
      <c r="AJ24" s="1">
        <v>33.11</v>
      </c>
      <c r="AK24" s="1">
        <f t="shared" si="25"/>
        <v>3.3049375000331338E-3</v>
      </c>
      <c r="AL24" s="42">
        <v>0</v>
      </c>
      <c r="AM24" s="35">
        <f t="shared" si="21"/>
        <v>4240.4866950625001</v>
      </c>
      <c r="AN24" s="1"/>
      <c r="AO24" s="34">
        <v>459.51</v>
      </c>
      <c r="AP24" s="41"/>
      <c r="AQ24" s="1"/>
      <c r="AR24" s="16" t="s">
        <v>14</v>
      </c>
      <c r="AS24" s="42">
        <v>0</v>
      </c>
      <c r="AT24" s="35">
        <f t="shared" si="1"/>
        <v>4240.49</v>
      </c>
      <c r="AU24" s="1"/>
      <c r="AV24" s="34">
        <v>459.51</v>
      </c>
      <c r="AW24" s="41"/>
      <c r="AX24" s="1"/>
      <c r="AY24" s="16" t="s">
        <v>14</v>
      </c>
      <c r="AZ24" s="42">
        <v>0</v>
      </c>
      <c r="BA24" s="35">
        <f t="shared" si="2"/>
        <v>4240.49</v>
      </c>
      <c r="BB24" s="1"/>
    </row>
    <row r="25" spans="2:60" ht="15" customHeight="1" x14ac:dyDescent="0.25">
      <c r="C25" s="21"/>
      <c r="D25" s="18"/>
      <c r="E25" s="25"/>
      <c r="F25" s="18"/>
      <c r="I25" s="3">
        <v>4800</v>
      </c>
      <c r="J25" s="1"/>
      <c r="K25" s="34">
        <v>481.59</v>
      </c>
      <c r="L25" s="163">
        <v>564.79999999999995</v>
      </c>
      <c r="M25" s="1">
        <f t="shared" si="3"/>
        <v>4235.2</v>
      </c>
      <c r="N25" s="1">
        <f t="shared" si="22"/>
        <v>290.14999999999998</v>
      </c>
      <c r="O25" s="42">
        <f t="shared" si="9"/>
        <v>6.0447916666666664E-2</v>
      </c>
      <c r="P25" s="35">
        <f t="shared" si="10"/>
        <v>4028.2599999999998</v>
      </c>
      <c r="Q25" s="1"/>
      <c r="R25" s="34">
        <v>481.59</v>
      </c>
      <c r="S25" s="163">
        <v>607.20000000000005</v>
      </c>
      <c r="T25" s="1">
        <f t="shared" si="5"/>
        <v>4192.8</v>
      </c>
      <c r="U25" s="1">
        <f t="shared" si="23"/>
        <v>267.8900000000001</v>
      </c>
      <c r="V25" s="42">
        <f t="shared" si="11"/>
        <v>5.5810416666666689E-2</v>
      </c>
      <c r="W25" s="35">
        <f t="shared" si="12"/>
        <v>4050.5199999999995</v>
      </c>
      <c r="X25" s="1"/>
      <c r="Y25" s="250">
        <v>473.51</v>
      </c>
      <c r="Z25" s="256">
        <v>607.20000000000005</v>
      </c>
      <c r="AA25" s="252">
        <f t="shared" si="7"/>
        <v>4192.8</v>
      </c>
      <c r="AB25" s="252">
        <v>267.89</v>
      </c>
      <c r="AC25" s="252">
        <f t="shared" si="24"/>
        <v>0</v>
      </c>
      <c r="AD25" s="254">
        <v>0</v>
      </c>
      <c r="AE25" s="255">
        <f t="shared" si="20"/>
        <v>4326.49</v>
      </c>
      <c r="AF25" s="1"/>
      <c r="AG25" s="34">
        <v>473.51</v>
      </c>
      <c r="AH25" s="163">
        <f t="shared" si="17"/>
        <v>851.69785349999995</v>
      </c>
      <c r="AI25" s="1">
        <f t="shared" si="14"/>
        <v>3948.3021465000002</v>
      </c>
      <c r="AJ25" s="1">
        <v>40.61</v>
      </c>
      <c r="AK25" s="1">
        <f t="shared" si="25"/>
        <v>3.3049375000331338E-3</v>
      </c>
      <c r="AL25" s="42">
        <v>0</v>
      </c>
      <c r="AM25" s="35">
        <f t="shared" si="21"/>
        <v>4326.4866950625001</v>
      </c>
      <c r="AN25" s="1"/>
      <c r="AO25" s="34">
        <v>473.51</v>
      </c>
      <c r="AP25" s="41"/>
      <c r="AQ25" s="1"/>
      <c r="AR25" s="16" t="s">
        <v>14</v>
      </c>
      <c r="AS25" s="42">
        <v>0</v>
      </c>
      <c r="AT25" s="35">
        <f t="shared" si="1"/>
        <v>4326.49</v>
      </c>
      <c r="AU25" s="1"/>
      <c r="AV25" s="34">
        <v>473.51</v>
      </c>
      <c r="AW25" s="41"/>
      <c r="AX25" s="1"/>
      <c r="AY25" s="16" t="s">
        <v>14</v>
      </c>
      <c r="AZ25" s="42">
        <v>0</v>
      </c>
      <c r="BA25" s="35">
        <f t="shared" si="2"/>
        <v>4326.49</v>
      </c>
      <c r="BB25" s="1"/>
      <c r="BC25" s="213" t="s">
        <v>167</v>
      </c>
      <c r="BD25" s="214"/>
      <c r="BE25" s="214"/>
      <c r="BF25" s="214"/>
      <c r="BG25" s="214"/>
      <c r="BH25" s="215"/>
    </row>
    <row r="26" spans="2:60" ht="15" customHeight="1" x14ac:dyDescent="0.3">
      <c r="C26" s="21"/>
      <c r="D26" s="18"/>
      <c r="E26" s="25"/>
      <c r="F26" s="18"/>
      <c r="H26" s="38" t="s">
        <v>29</v>
      </c>
      <c r="I26" s="9">
        <v>4867.7700000000004</v>
      </c>
      <c r="J26" s="1"/>
      <c r="K26" s="34">
        <v>491.08</v>
      </c>
      <c r="L26" s="163">
        <v>564.79999999999995</v>
      </c>
      <c r="M26" s="1">
        <f t="shared" si="3"/>
        <v>4302.97</v>
      </c>
      <c r="N26" s="1">
        <f t="shared" si="22"/>
        <v>305.39825000000008</v>
      </c>
      <c r="O26" s="42">
        <f t="shared" si="9"/>
        <v>6.2738841399655298E-2</v>
      </c>
      <c r="P26" s="39">
        <f t="shared" si="10"/>
        <v>4071.2917500000003</v>
      </c>
      <c r="Q26" s="1"/>
      <c r="R26" s="34">
        <v>491.08</v>
      </c>
      <c r="S26" s="163">
        <v>607.20000000000005</v>
      </c>
      <c r="T26" s="1">
        <f t="shared" si="5"/>
        <v>4260.5700000000006</v>
      </c>
      <c r="U26" s="50">
        <f t="shared" si="23"/>
        <v>283.1382500000002</v>
      </c>
      <c r="V26" s="42">
        <f t="shared" si="11"/>
        <v>5.8165905537854126E-2</v>
      </c>
      <c r="W26" s="39">
        <f t="shared" si="12"/>
        <v>4093.5517500000005</v>
      </c>
      <c r="X26" s="1"/>
      <c r="Y26" s="250">
        <v>483</v>
      </c>
      <c r="Z26" s="256">
        <v>607.20000000000005</v>
      </c>
      <c r="AA26" s="252">
        <f t="shared" si="7"/>
        <v>4260.5700000000006</v>
      </c>
      <c r="AB26" s="252">
        <v>283.14</v>
      </c>
      <c r="AC26" s="257">
        <f t="shared" si="24"/>
        <v>-1.7499999997880877E-3</v>
      </c>
      <c r="AD26" s="254">
        <v>0</v>
      </c>
      <c r="AE26" s="258">
        <f t="shared" si="20"/>
        <v>4384.7717499999999</v>
      </c>
      <c r="AF26" s="1"/>
      <c r="AG26" s="34">
        <v>483</v>
      </c>
      <c r="AH26" s="163">
        <f t="shared" si="17"/>
        <v>851.69785349999995</v>
      </c>
      <c r="AI26" s="1">
        <f t="shared" si="14"/>
        <v>4016.0721465000006</v>
      </c>
      <c r="AJ26" s="1">
        <v>45.7</v>
      </c>
      <c r="AK26" s="1">
        <f t="shared" si="25"/>
        <v>-3.945062499937535E-3</v>
      </c>
      <c r="AL26" s="42">
        <v>0</v>
      </c>
      <c r="AM26" s="35">
        <f t="shared" si="21"/>
        <v>4384.7739450625004</v>
      </c>
      <c r="AN26" s="1"/>
      <c r="AO26" s="34">
        <v>483</v>
      </c>
      <c r="AP26" s="41"/>
      <c r="AQ26" s="1"/>
      <c r="AR26" s="16" t="s">
        <v>14</v>
      </c>
      <c r="AS26" s="42">
        <v>0</v>
      </c>
      <c r="AT26" s="35">
        <f t="shared" si="1"/>
        <v>4384.7700000000004</v>
      </c>
      <c r="AU26" s="1"/>
      <c r="AV26" s="34">
        <v>483</v>
      </c>
      <c r="AW26" s="41"/>
      <c r="AX26" s="1"/>
      <c r="AY26" s="16" t="s">
        <v>14</v>
      </c>
      <c r="AZ26" s="42">
        <v>0</v>
      </c>
      <c r="BA26" s="35">
        <f t="shared" si="2"/>
        <v>4384.7700000000004</v>
      </c>
      <c r="BB26" s="1"/>
      <c r="BC26" s="216"/>
      <c r="BD26" s="217"/>
      <c r="BE26" s="217"/>
      <c r="BF26" s="217"/>
      <c r="BG26" s="217"/>
      <c r="BH26" s="218"/>
    </row>
    <row r="27" spans="2:60" ht="15" customHeight="1" thickBot="1" x14ac:dyDescent="0.3">
      <c r="C27" s="21"/>
      <c r="E27" s="25"/>
      <c r="F27" s="18"/>
      <c r="I27" s="3">
        <v>4900</v>
      </c>
      <c r="J27" s="1"/>
      <c r="K27" s="34">
        <v>495.59</v>
      </c>
      <c r="L27" s="163">
        <v>564.79999999999995</v>
      </c>
      <c r="M27" s="1">
        <f t="shared" si="3"/>
        <v>4335.2</v>
      </c>
      <c r="N27" s="1">
        <f t="shared" si="22"/>
        <v>312.64999999999998</v>
      </c>
      <c r="O27" s="42">
        <f t="shared" si="9"/>
        <v>6.3806122448979583E-2</v>
      </c>
      <c r="P27" s="35">
        <f t="shared" si="10"/>
        <v>4091.7599999999998</v>
      </c>
      <c r="Q27" s="1"/>
      <c r="R27" s="34">
        <v>495.59</v>
      </c>
      <c r="S27" s="163">
        <v>607.20000000000005</v>
      </c>
      <c r="T27" s="1">
        <f t="shared" si="5"/>
        <v>4292.8</v>
      </c>
      <c r="U27" s="1">
        <f t="shared" si="23"/>
        <v>290.3900000000001</v>
      </c>
      <c r="V27" s="42">
        <f t="shared" si="11"/>
        <v>5.926326530612247E-2</v>
      </c>
      <c r="W27" s="35">
        <f t="shared" si="12"/>
        <v>4114.0199999999995</v>
      </c>
      <c r="X27" s="1"/>
      <c r="Y27" s="250">
        <v>487.51</v>
      </c>
      <c r="Z27" s="256">
        <v>607.20000000000005</v>
      </c>
      <c r="AA27" s="252">
        <f t="shared" si="7"/>
        <v>4292.8</v>
      </c>
      <c r="AB27" s="252">
        <v>290.39</v>
      </c>
      <c r="AC27" s="252">
        <f t="shared" si="24"/>
        <v>0</v>
      </c>
      <c r="AD27" s="254">
        <v>0</v>
      </c>
      <c r="AE27" s="255">
        <f t="shared" si="20"/>
        <v>4412.49</v>
      </c>
      <c r="AF27" s="1"/>
      <c r="AG27" s="34">
        <v>487.51</v>
      </c>
      <c r="AH27" s="163">
        <f t="shared" si="17"/>
        <v>851.69785349999995</v>
      </c>
      <c r="AI27" s="1">
        <f t="shared" si="14"/>
        <v>4048.3021465000002</v>
      </c>
      <c r="AJ27" s="1">
        <v>48.11</v>
      </c>
      <c r="AK27" s="1">
        <f t="shared" si="25"/>
        <v>3.3049375000331338E-3</v>
      </c>
      <c r="AL27" s="42">
        <v>0</v>
      </c>
      <c r="AM27" s="35">
        <f t="shared" si="21"/>
        <v>4412.4866950625001</v>
      </c>
      <c r="AN27" s="1"/>
      <c r="AO27" s="34">
        <v>487.51</v>
      </c>
      <c r="AP27" s="41"/>
      <c r="AQ27" s="1"/>
      <c r="AR27" s="16" t="s">
        <v>14</v>
      </c>
      <c r="AS27" s="42">
        <v>0</v>
      </c>
      <c r="AT27" s="35">
        <f t="shared" si="1"/>
        <v>4412.49</v>
      </c>
      <c r="AU27" s="1"/>
      <c r="AV27" s="34">
        <v>487.51</v>
      </c>
      <c r="AW27" s="41"/>
      <c r="AX27" s="1"/>
      <c r="AY27" s="16" t="s">
        <v>14</v>
      </c>
      <c r="AZ27" s="42">
        <v>0</v>
      </c>
      <c r="BA27" s="35">
        <f t="shared" si="2"/>
        <v>4412.49</v>
      </c>
      <c r="BB27" s="1"/>
      <c r="BC27" s="210" t="s">
        <v>20</v>
      </c>
      <c r="BD27" s="209"/>
      <c r="BE27" s="209"/>
      <c r="BF27" s="57" t="s">
        <v>2</v>
      </c>
      <c r="BG27" s="211" t="s">
        <v>3</v>
      </c>
      <c r="BH27" s="212"/>
    </row>
    <row r="28" spans="2:60" ht="15" customHeight="1" x14ac:dyDescent="0.25">
      <c r="I28" s="5">
        <v>5000</v>
      </c>
      <c r="J28" s="1"/>
      <c r="K28" s="34">
        <v>509.59</v>
      </c>
      <c r="L28" s="163">
        <v>564.79999999999995</v>
      </c>
      <c r="M28" s="1">
        <f t="shared" si="3"/>
        <v>4435.2</v>
      </c>
      <c r="N28" s="1">
        <f t="shared" si="22"/>
        <v>335.15</v>
      </c>
      <c r="O28" s="42">
        <f t="shared" si="9"/>
        <v>6.7029999999999992E-2</v>
      </c>
      <c r="P28" s="35">
        <f t="shared" si="10"/>
        <v>4155.26</v>
      </c>
      <c r="Q28" s="1"/>
      <c r="R28" s="34">
        <v>509.59</v>
      </c>
      <c r="S28" s="163">
        <v>607.20000000000005</v>
      </c>
      <c r="T28" s="1">
        <f t="shared" si="5"/>
        <v>4392.8</v>
      </c>
      <c r="U28" s="47">
        <f t="shared" si="23"/>
        <v>312.8900000000001</v>
      </c>
      <c r="V28" s="42">
        <f t="shared" si="11"/>
        <v>6.2578000000000022E-2</v>
      </c>
      <c r="W28" s="35">
        <f t="shared" si="12"/>
        <v>4177.5199999999995</v>
      </c>
      <c r="X28" s="1"/>
      <c r="Y28" s="250">
        <v>501.51</v>
      </c>
      <c r="Z28" s="256">
        <v>607.20000000000005</v>
      </c>
      <c r="AA28" s="252">
        <f t="shared" si="7"/>
        <v>4392.8</v>
      </c>
      <c r="AB28" s="259">
        <v>312.89</v>
      </c>
      <c r="AC28" s="260">
        <f t="shared" si="24"/>
        <v>0</v>
      </c>
      <c r="AD28" s="254">
        <v>0</v>
      </c>
      <c r="AE28" s="255">
        <f t="shared" si="20"/>
        <v>4498.49</v>
      </c>
      <c r="AF28" s="1"/>
      <c r="AG28" s="34">
        <v>501.51</v>
      </c>
      <c r="AH28" s="163">
        <f t="shared" si="17"/>
        <v>851.69785349999995</v>
      </c>
      <c r="AI28" s="1">
        <f t="shared" si="14"/>
        <v>4148.3021465000002</v>
      </c>
      <c r="AJ28" s="6">
        <v>55.61</v>
      </c>
      <c r="AK28" s="47">
        <f t="shared" si="25"/>
        <v>3.3049375000331338E-3</v>
      </c>
      <c r="AL28" s="42">
        <v>0</v>
      </c>
      <c r="AM28" s="35">
        <f t="shared" si="21"/>
        <v>4498.4866950625001</v>
      </c>
      <c r="AN28" s="1"/>
      <c r="AO28" s="34">
        <v>501.51</v>
      </c>
      <c r="AP28" s="41">
        <f t="shared" ref="AP28:AP37" si="26">I28*20%</f>
        <v>1000</v>
      </c>
      <c r="AQ28" s="1">
        <f t="shared" ref="AQ28:AQ32" si="27">$I28-AP28</f>
        <v>4000</v>
      </c>
      <c r="AR28" s="16" t="s">
        <v>14</v>
      </c>
      <c r="AS28" s="42">
        <v>0</v>
      </c>
      <c r="AT28" s="35">
        <f t="shared" si="1"/>
        <v>4498.49</v>
      </c>
      <c r="AU28" s="1"/>
      <c r="AV28" s="34">
        <v>501.51</v>
      </c>
      <c r="AW28" s="41">
        <f>I28*20%</f>
        <v>1000</v>
      </c>
      <c r="AX28" s="1">
        <f t="shared" ref="AX28:AX32" si="28">$I28-AW28</f>
        <v>4000</v>
      </c>
      <c r="AY28" s="16" t="s">
        <v>14</v>
      </c>
      <c r="AZ28" s="42">
        <v>0</v>
      </c>
      <c r="BA28" s="35">
        <f t="shared" si="2"/>
        <v>4498.49</v>
      </c>
      <c r="BB28" s="1"/>
      <c r="BC28" s="17" t="s">
        <v>0</v>
      </c>
      <c r="BD28" s="21"/>
      <c r="BE28" s="21">
        <v>4000</v>
      </c>
      <c r="BF28" s="162">
        <v>0</v>
      </c>
      <c r="BG28" s="18"/>
      <c r="BH28" s="20"/>
    </row>
    <row r="29" spans="2:60" ht="15" customHeight="1" x14ac:dyDescent="0.25">
      <c r="C29" s="1"/>
      <c r="I29" s="5">
        <v>5100</v>
      </c>
      <c r="J29" s="1"/>
      <c r="K29" s="34">
        <v>523.59</v>
      </c>
      <c r="L29" s="163">
        <v>564.79999999999995</v>
      </c>
      <c r="M29" s="1">
        <f t="shared" si="3"/>
        <v>4535.2</v>
      </c>
      <c r="N29" s="1">
        <f t="shared" si="22"/>
        <v>357.65</v>
      </c>
      <c r="O29" s="43">
        <f t="shared" si="9"/>
        <v>7.012745098039215E-2</v>
      </c>
      <c r="P29" s="35">
        <f t="shared" si="10"/>
        <v>4218.76</v>
      </c>
      <c r="Q29" s="1"/>
      <c r="R29" s="34">
        <v>523.59</v>
      </c>
      <c r="S29" s="163">
        <v>607.20000000000005</v>
      </c>
      <c r="T29" s="1">
        <f t="shared" si="5"/>
        <v>4492.8</v>
      </c>
      <c r="U29" s="14">
        <f t="shared" si="23"/>
        <v>335.3900000000001</v>
      </c>
      <c r="V29" s="43">
        <f t="shared" si="11"/>
        <v>6.5762745098039241E-2</v>
      </c>
      <c r="W29" s="35">
        <f t="shared" si="12"/>
        <v>4241.0199999999995</v>
      </c>
      <c r="X29" s="1"/>
      <c r="Y29" s="250">
        <v>515.51</v>
      </c>
      <c r="Z29" s="256">
        <v>607.20000000000005</v>
      </c>
      <c r="AA29" s="252">
        <f t="shared" si="7"/>
        <v>4492.8</v>
      </c>
      <c r="AB29" s="259">
        <f>978.62-(0.133145*$I29)</f>
        <v>299.58049999999992</v>
      </c>
      <c r="AC29" s="261">
        <f t="shared" si="24"/>
        <v>35.809500000000185</v>
      </c>
      <c r="AD29" s="262">
        <f t="shared" ref="AD29:AD102" si="29">AC29/$I29</f>
        <v>7.0214705882353304E-3</v>
      </c>
      <c r="AE29" s="255">
        <f t="shared" si="20"/>
        <v>4548.6804999999995</v>
      </c>
      <c r="AF29" s="1"/>
      <c r="AG29" s="34">
        <v>515.51</v>
      </c>
      <c r="AH29" s="163">
        <f t="shared" si="17"/>
        <v>851.69785349999995</v>
      </c>
      <c r="AI29" s="1">
        <f t="shared" si="14"/>
        <v>4248.3021465000002</v>
      </c>
      <c r="AJ29" s="6">
        <f>173.93-(0.023664*$I29)</f>
        <v>53.243600000000001</v>
      </c>
      <c r="AK29" s="14">
        <f t="shared" si="25"/>
        <v>9.8697049375000319</v>
      </c>
      <c r="AL29" s="171">
        <f t="shared" ref="AL29:AL54" si="30">AK29/$I29</f>
        <v>1.9352362622549082E-3</v>
      </c>
      <c r="AM29" s="35">
        <f t="shared" si="21"/>
        <v>4574.6202950625002</v>
      </c>
      <c r="AN29" s="1"/>
      <c r="AO29" s="34">
        <v>515.51</v>
      </c>
      <c r="AP29" s="41">
        <f t="shared" si="26"/>
        <v>1020</v>
      </c>
      <c r="AQ29" s="1">
        <f t="shared" si="27"/>
        <v>4080</v>
      </c>
      <c r="AR29" s="1">
        <f t="shared" ref="AR29:AR37" si="31">AQ29*$BF$19-$BG$19</f>
        <v>6</v>
      </c>
      <c r="AS29" s="171">
        <f t="shared" ref="AS29:AS98" si="32">AR29/$I29</f>
        <v>1.176470588235294E-3</v>
      </c>
      <c r="AT29" s="35">
        <f t="shared" ref="AT29:AT37" si="33">$I29-AO29-AR29</f>
        <v>4578.49</v>
      </c>
      <c r="AU29" s="1"/>
      <c r="AV29" s="34">
        <v>515.51</v>
      </c>
      <c r="AW29" s="41">
        <f t="shared" ref="AW29:AW37" si="34">I29*20%</f>
        <v>1020</v>
      </c>
      <c r="AX29" s="1">
        <f t="shared" si="28"/>
        <v>4080</v>
      </c>
      <c r="AY29" s="1">
        <f t="shared" ref="AY29:AY37" si="35">AX29*$BF$31-$BG$31</f>
        <v>6</v>
      </c>
      <c r="AZ29" s="171">
        <f t="shared" ref="AZ29:AZ37" si="36">AY29/$I29</f>
        <v>1.176470588235294E-3</v>
      </c>
      <c r="BA29" s="35">
        <f t="shared" ref="BA29:BA37" si="37">$I29-AV29-AY29</f>
        <v>4578.49</v>
      </c>
      <c r="BC29" s="169"/>
      <c r="BE29" s="23" t="s">
        <v>15</v>
      </c>
      <c r="BF29" s="170" t="s">
        <v>146</v>
      </c>
      <c r="BH29" s="24"/>
    </row>
    <row r="30" spans="2:60" ht="15" customHeight="1" x14ac:dyDescent="0.3">
      <c r="C30" s="21"/>
      <c r="G30" s="30"/>
      <c r="H30" s="38" t="s">
        <v>30</v>
      </c>
      <c r="I30" s="9">
        <v>5130.63</v>
      </c>
      <c r="J30" s="1"/>
      <c r="K30" s="34">
        <v>527.88</v>
      </c>
      <c r="L30" s="163">
        <v>564.79999999999995</v>
      </c>
      <c r="M30" s="1">
        <f t="shared" si="3"/>
        <v>4565.83</v>
      </c>
      <c r="N30" s="1">
        <f t="shared" si="22"/>
        <v>364.54175000000009</v>
      </c>
      <c r="O30" s="43">
        <f t="shared" si="9"/>
        <v>7.1052044290857083E-2</v>
      </c>
      <c r="P30" s="39">
        <f t="shared" si="10"/>
        <v>4238.2082499999997</v>
      </c>
      <c r="Q30" s="1"/>
      <c r="R30" s="34">
        <v>527.88</v>
      </c>
      <c r="S30" s="163">
        <v>607.20000000000005</v>
      </c>
      <c r="T30" s="1">
        <f t="shared" si="5"/>
        <v>4523.43</v>
      </c>
      <c r="U30" s="31">
        <f t="shared" si="23"/>
        <v>342.2817500000001</v>
      </c>
      <c r="V30" s="43">
        <f t="shared" si="11"/>
        <v>6.6713395820786156E-2</v>
      </c>
      <c r="W30" s="39">
        <f t="shared" si="12"/>
        <v>4260.4682499999999</v>
      </c>
      <c r="X30" s="1"/>
      <c r="Y30" s="250">
        <v>519.79999999999995</v>
      </c>
      <c r="Z30" s="256">
        <v>607.20000000000005</v>
      </c>
      <c r="AA30" s="252">
        <f t="shared" si="7"/>
        <v>4523.43</v>
      </c>
      <c r="AB30" s="259">
        <f>978.62-(0.133145*$I30)</f>
        <v>295.50226864999991</v>
      </c>
      <c r="AC30" s="263">
        <f t="shared" si="24"/>
        <v>46.779481350000196</v>
      </c>
      <c r="AD30" s="262">
        <f t="shared" si="29"/>
        <v>9.1176875646850775E-3</v>
      </c>
      <c r="AE30" s="258">
        <f>$I30-Y30-AC30</f>
        <v>4564.0505186499995</v>
      </c>
      <c r="AF30" s="1"/>
      <c r="AG30" s="34">
        <v>519.79999999999995</v>
      </c>
      <c r="AH30" s="163">
        <f t="shared" si="17"/>
        <v>851.69785349999995</v>
      </c>
      <c r="AI30" s="1">
        <f t="shared" si="14"/>
        <v>4278.9321465000003</v>
      </c>
      <c r="AJ30" s="6">
        <f t="shared" ref="AJ30:AJ57" si="38">173.93-(0.023664*$I30)</f>
        <v>52.51877168</v>
      </c>
      <c r="AK30" s="31">
        <f t="shared" si="25"/>
        <v>12.891783257500052</v>
      </c>
      <c r="AL30" s="171">
        <f t="shared" si="30"/>
        <v>2.512709600477924E-3</v>
      </c>
      <c r="AM30" s="35">
        <f t="shared" si="21"/>
        <v>4597.9382167425001</v>
      </c>
      <c r="AN30" s="1"/>
      <c r="AO30" s="34">
        <v>519.79999999999995</v>
      </c>
      <c r="AP30" s="41">
        <f t="shared" si="26"/>
        <v>1026.126</v>
      </c>
      <c r="AQ30" s="1">
        <f t="shared" si="27"/>
        <v>4104.5039999999999</v>
      </c>
      <c r="AR30" s="1">
        <f t="shared" si="31"/>
        <v>7.8377999999999588</v>
      </c>
      <c r="AS30" s="171">
        <f t="shared" si="32"/>
        <v>1.5276486513352081E-3</v>
      </c>
      <c r="AT30" s="35">
        <f t="shared" si="33"/>
        <v>4602.9921999999997</v>
      </c>
      <c r="AU30" s="1"/>
      <c r="AV30" s="34">
        <v>519.79999999999995</v>
      </c>
      <c r="AW30" s="41">
        <f t="shared" si="34"/>
        <v>1026.126</v>
      </c>
      <c r="AX30" s="1">
        <f t="shared" si="28"/>
        <v>4104.5039999999999</v>
      </c>
      <c r="AY30" s="1">
        <f t="shared" si="35"/>
        <v>7.8377999999999588</v>
      </c>
      <c r="AZ30" s="171">
        <f t="shared" si="36"/>
        <v>1.5276486513352081E-3</v>
      </c>
      <c r="BA30" s="35">
        <f t="shared" si="37"/>
        <v>4602.9921999999997</v>
      </c>
      <c r="BC30" s="169"/>
      <c r="BH30" s="24"/>
    </row>
    <row r="31" spans="2:60" ht="15" customHeight="1" x14ac:dyDescent="0.25">
      <c r="I31" s="5">
        <v>5200</v>
      </c>
      <c r="J31" s="1"/>
      <c r="K31" s="34">
        <v>537.59</v>
      </c>
      <c r="L31" s="163">
        <v>564.79999999999995</v>
      </c>
      <c r="M31" s="1">
        <f t="shared" si="3"/>
        <v>4635.2</v>
      </c>
      <c r="N31" s="1">
        <f t="shared" si="22"/>
        <v>380.15000000000009</v>
      </c>
      <c r="O31" s="43">
        <f t="shared" si="9"/>
        <v>7.3105769230769252E-2</v>
      </c>
      <c r="P31" s="35">
        <f t="shared" si="10"/>
        <v>4282.26</v>
      </c>
      <c r="Q31" s="1"/>
      <c r="R31" s="34">
        <v>537.59</v>
      </c>
      <c r="S31" s="163">
        <v>607.20000000000005</v>
      </c>
      <c r="T31" s="1">
        <f t="shared" si="5"/>
        <v>4592.8</v>
      </c>
      <c r="U31" s="14">
        <f t="shared" si="23"/>
        <v>357.8900000000001</v>
      </c>
      <c r="V31" s="43">
        <f t="shared" si="11"/>
        <v>6.8825000000000025E-2</v>
      </c>
      <c r="W31" s="35">
        <f t="shared" si="12"/>
        <v>4304.5199999999995</v>
      </c>
      <c r="X31" s="1"/>
      <c r="Y31" s="250">
        <v>529.51</v>
      </c>
      <c r="Z31" s="256">
        <v>607.20000000000005</v>
      </c>
      <c r="AA31" s="252">
        <f t="shared" si="7"/>
        <v>4592.8</v>
      </c>
      <c r="AB31" s="259">
        <f t="shared" ref="AB31:AB58" si="39">978.62-(0.133145*$I31)</f>
        <v>286.26599999999996</v>
      </c>
      <c r="AC31" s="261">
        <f t="shared" si="24"/>
        <v>71.624000000000137</v>
      </c>
      <c r="AD31" s="262">
        <f t="shared" si="29"/>
        <v>1.377384615384618E-2</v>
      </c>
      <c r="AE31" s="255">
        <f t="shared" si="20"/>
        <v>4598.866</v>
      </c>
      <c r="AF31" s="1"/>
      <c r="AG31" s="34">
        <v>529.51</v>
      </c>
      <c r="AH31" s="163">
        <f t="shared" si="17"/>
        <v>851.69785349999995</v>
      </c>
      <c r="AI31" s="1">
        <f t="shared" si="14"/>
        <v>4348.3021465000002</v>
      </c>
      <c r="AJ31" s="6">
        <f t="shared" si="38"/>
        <v>50.877200000000002</v>
      </c>
      <c r="AK31" s="14">
        <f t="shared" si="25"/>
        <v>19.736104937500031</v>
      </c>
      <c r="AL31" s="171">
        <f t="shared" si="30"/>
        <v>3.7954047956730826E-3</v>
      </c>
      <c r="AM31" s="35">
        <f t="shared" si="21"/>
        <v>4650.7538950624994</v>
      </c>
      <c r="AN31" s="1"/>
      <c r="AO31" s="34">
        <v>529.51</v>
      </c>
      <c r="AP31" s="41">
        <f t="shared" si="26"/>
        <v>1040</v>
      </c>
      <c r="AQ31" s="1">
        <f t="shared" si="27"/>
        <v>4160</v>
      </c>
      <c r="AR31" s="1">
        <f t="shared" si="31"/>
        <v>12</v>
      </c>
      <c r="AS31" s="171">
        <f t="shared" si="32"/>
        <v>2.3076923076923079E-3</v>
      </c>
      <c r="AT31" s="35">
        <f t="shared" si="33"/>
        <v>4658.49</v>
      </c>
      <c r="AU31" s="1"/>
      <c r="AV31" s="34">
        <v>529.51</v>
      </c>
      <c r="AW31" s="41">
        <f t="shared" si="34"/>
        <v>1040</v>
      </c>
      <c r="AX31" s="1">
        <f t="shared" si="28"/>
        <v>4160</v>
      </c>
      <c r="AY31" s="1">
        <f t="shared" si="35"/>
        <v>12</v>
      </c>
      <c r="AZ31" s="171">
        <f t="shared" si="36"/>
        <v>2.3076923076923079E-3</v>
      </c>
      <c r="BA31" s="35">
        <f t="shared" si="37"/>
        <v>4658.49</v>
      </c>
      <c r="BC31" s="17" t="s">
        <v>1</v>
      </c>
      <c r="BD31" s="21">
        <f>BE28+0.01</f>
        <v>4000.01</v>
      </c>
      <c r="BE31" s="21">
        <v>5938.4</v>
      </c>
      <c r="BF31" s="162">
        <v>7.4999999999999997E-2</v>
      </c>
      <c r="BG31" s="21">
        <v>300</v>
      </c>
      <c r="BH31" s="20"/>
    </row>
    <row r="32" spans="2:60" ht="15" customHeight="1" x14ac:dyDescent="0.25">
      <c r="H32" s="38" t="s">
        <v>145</v>
      </c>
      <c r="I32" s="9">
        <v>5220</v>
      </c>
      <c r="J32" s="1"/>
      <c r="K32" s="34"/>
      <c r="L32" s="41"/>
      <c r="M32" s="1"/>
      <c r="N32" s="1"/>
      <c r="O32" s="43"/>
      <c r="P32" s="35"/>
      <c r="Q32" s="1"/>
      <c r="R32" s="34"/>
      <c r="S32" s="163"/>
      <c r="T32" s="1"/>
      <c r="U32" s="14"/>
      <c r="V32" s="43"/>
      <c r="W32" s="35"/>
      <c r="X32" s="1"/>
      <c r="Y32" s="250">
        <v>532.30999999999995</v>
      </c>
      <c r="Z32" s="256">
        <v>607.20000000000005</v>
      </c>
      <c r="AA32" s="252">
        <f t="shared" si="7"/>
        <v>4612.8</v>
      </c>
      <c r="AB32" s="259">
        <f t="shared" si="39"/>
        <v>283.60309999999993</v>
      </c>
      <c r="AC32" s="261">
        <f t="shared" si="24"/>
        <v>78.786900000000173</v>
      </c>
      <c r="AD32" s="262">
        <f t="shared" si="29"/>
        <v>1.5093275862068999E-2</v>
      </c>
      <c r="AE32" s="255">
        <f t="shared" si="20"/>
        <v>4608.9031000000004</v>
      </c>
      <c r="AF32" s="1"/>
      <c r="AG32" s="34">
        <v>532.30999999999995</v>
      </c>
      <c r="AH32" s="163">
        <f t="shared" si="17"/>
        <v>851.69785349999995</v>
      </c>
      <c r="AI32" s="1">
        <f t="shared" si="14"/>
        <v>4368.3021465000002</v>
      </c>
      <c r="AJ32" s="6">
        <f t="shared" si="38"/>
        <v>50.403919999999999</v>
      </c>
      <c r="AK32" s="14">
        <f t="shared" si="25"/>
        <v>21.709384937500033</v>
      </c>
      <c r="AL32" s="171">
        <f t="shared" si="30"/>
        <v>4.1588860033524968E-3</v>
      </c>
      <c r="AM32" s="35">
        <f t="shared" si="21"/>
        <v>4665.9806150625009</v>
      </c>
      <c r="AN32" s="1"/>
      <c r="AO32" s="34">
        <v>532.30999999999995</v>
      </c>
      <c r="AP32" s="41">
        <f t="shared" si="26"/>
        <v>1044</v>
      </c>
      <c r="AQ32" s="1">
        <f t="shared" si="27"/>
        <v>4176</v>
      </c>
      <c r="AR32" s="1">
        <f t="shared" si="31"/>
        <v>13.199999999999989</v>
      </c>
      <c r="AS32" s="171">
        <f t="shared" si="32"/>
        <v>2.5287356321839058E-3</v>
      </c>
      <c r="AT32" s="35">
        <f t="shared" si="33"/>
        <v>4674.4900000000007</v>
      </c>
      <c r="AU32" s="1"/>
      <c r="AV32" s="34">
        <v>532.30999999999995</v>
      </c>
      <c r="AW32" s="41">
        <f t="shared" si="34"/>
        <v>1044</v>
      </c>
      <c r="AX32" s="1">
        <f t="shared" si="28"/>
        <v>4176</v>
      </c>
      <c r="AY32" s="1">
        <f t="shared" si="35"/>
        <v>13.199999999999989</v>
      </c>
      <c r="AZ32" s="171">
        <f t="shared" si="36"/>
        <v>2.5287356321839058E-3</v>
      </c>
      <c r="BA32" s="35">
        <f t="shared" si="37"/>
        <v>4674.4900000000007</v>
      </c>
      <c r="BC32" s="17" t="s">
        <v>1</v>
      </c>
      <c r="BD32" s="21">
        <f>BE31+0.01</f>
        <v>5938.41</v>
      </c>
      <c r="BE32" s="21">
        <v>7880.4399205874024</v>
      </c>
      <c r="BF32" s="162">
        <v>0.15</v>
      </c>
      <c r="BG32" s="21">
        <v>745.38020357356697</v>
      </c>
      <c r="BH32" s="29"/>
    </row>
    <row r="33" spans="2:60" ht="15" customHeight="1" x14ac:dyDescent="0.25">
      <c r="I33" s="5">
        <v>5300</v>
      </c>
      <c r="J33" s="1"/>
      <c r="K33" s="34">
        <v>551.59</v>
      </c>
      <c r="L33" s="163">
        <v>564.79999999999995</v>
      </c>
      <c r="M33" s="1">
        <f t="shared" si="3"/>
        <v>4735.2</v>
      </c>
      <c r="N33" s="1">
        <f t="shared" ref="N33:N103" si="40">M33*$E$10-$F$10</f>
        <v>406.18000000000006</v>
      </c>
      <c r="O33" s="43">
        <f t="shared" si="9"/>
        <v>7.6637735849056615E-2</v>
      </c>
      <c r="P33" s="35">
        <f t="shared" si="10"/>
        <v>4342.2299999999996</v>
      </c>
      <c r="Q33" s="1"/>
      <c r="R33" s="34">
        <v>551.59</v>
      </c>
      <c r="S33" s="163">
        <v>607.20000000000005</v>
      </c>
      <c r="T33" s="1">
        <f t="shared" si="5"/>
        <v>4692.8</v>
      </c>
      <c r="U33" s="14">
        <f t="shared" ref="U33:U103" si="41">T33*$E$22-$F$22</f>
        <v>381.79000000000019</v>
      </c>
      <c r="V33" s="43">
        <f t="shared" si="11"/>
        <v>7.2035849056603804E-2</v>
      </c>
      <c r="W33" s="35">
        <f t="shared" si="12"/>
        <v>4366.62</v>
      </c>
      <c r="X33" s="1"/>
      <c r="Y33" s="250">
        <v>543.51</v>
      </c>
      <c r="Z33" s="256">
        <v>607.20000000000005</v>
      </c>
      <c r="AA33" s="252">
        <f t="shared" si="7"/>
        <v>4692.8</v>
      </c>
      <c r="AB33" s="259">
        <f t="shared" si="39"/>
        <v>272.9514999999999</v>
      </c>
      <c r="AC33" s="261">
        <f t="shared" ref="AC33:AC57" si="42">AA33*$E$22-$F$22-AB33</f>
        <v>108.83850000000029</v>
      </c>
      <c r="AD33" s="262">
        <f t="shared" si="29"/>
        <v>2.0535566037735906E-2</v>
      </c>
      <c r="AE33" s="255">
        <f t="shared" si="20"/>
        <v>4647.6514999999999</v>
      </c>
      <c r="AF33" s="1"/>
      <c r="AG33" s="34">
        <v>543.51</v>
      </c>
      <c r="AH33" s="163">
        <f t="shared" si="17"/>
        <v>851.69785349999995</v>
      </c>
      <c r="AI33" s="1">
        <f t="shared" si="14"/>
        <v>4448.3021465000002</v>
      </c>
      <c r="AJ33" s="6">
        <f t="shared" si="38"/>
        <v>48.510800000000003</v>
      </c>
      <c r="AK33" s="14">
        <f t="shared" si="25"/>
        <v>29.602504937500029</v>
      </c>
      <c r="AL33" s="171">
        <f t="shared" si="30"/>
        <v>5.5853782900943455E-3</v>
      </c>
      <c r="AM33" s="35">
        <f t="shared" si="21"/>
        <v>4726.8874950624995</v>
      </c>
      <c r="AN33" s="1"/>
      <c r="AO33" s="34">
        <v>543.51</v>
      </c>
      <c r="AP33" s="41">
        <f t="shared" si="26"/>
        <v>1060</v>
      </c>
      <c r="AQ33" s="1">
        <f>$I33-AP33</f>
        <v>4240</v>
      </c>
      <c r="AR33" s="1">
        <f t="shared" si="31"/>
        <v>18</v>
      </c>
      <c r="AS33" s="171">
        <f t="shared" si="32"/>
        <v>3.3962264150943396E-3</v>
      </c>
      <c r="AT33" s="35">
        <f t="shared" si="33"/>
        <v>4738.49</v>
      </c>
      <c r="AU33" s="1"/>
      <c r="AV33" s="34">
        <v>543.51</v>
      </c>
      <c r="AW33" s="41">
        <f t="shared" si="34"/>
        <v>1060</v>
      </c>
      <c r="AX33" s="1">
        <f>$I33-AW33</f>
        <v>4240</v>
      </c>
      <c r="AY33" s="1">
        <f t="shared" si="35"/>
        <v>18</v>
      </c>
      <c r="AZ33" s="171">
        <f t="shared" si="36"/>
        <v>3.3962264150943396E-3</v>
      </c>
      <c r="BA33" s="35">
        <f t="shared" si="37"/>
        <v>4738.49</v>
      </c>
      <c r="BC33" s="17" t="s">
        <v>1</v>
      </c>
      <c r="BD33" s="21">
        <f>BE32+0.01</f>
        <v>7880.4499205874026</v>
      </c>
      <c r="BE33" s="21">
        <v>9799.8508387693164</v>
      </c>
      <c r="BF33" s="162">
        <v>0.22500000000000001</v>
      </c>
      <c r="BG33" s="21">
        <v>1336.4131976176225</v>
      </c>
      <c r="BH33" s="20"/>
    </row>
    <row r="34" spans="2:60" ht="15" customHeight="1" x14ac:dyDescent="0.25">
      <c r="I34" s="5">
        <v>5400</v>
      </c>
      <c r="J34" s="1"/>
      <c r="K34" s="34">
        <v>565.59</v>
      </c>
      <c r="L34" s="41">
        <v>565.59</v>
      </c>
      <c r="M34" s="1">
        <f>$I34-L34</f>
        <v>4834.41</v>
      </c>
      <c r="N34" s="1">
        <f t="shared" si="40"/>
        <v>433.46275000000014</v>
      </c>
      <c r="O34" s="43">
        <f t="shared" si="9"/>
        <v>8.0270879629629657E-2</v>
      </c>
      <c r="P34" s="35">
        <f t="shared" si="10"/>
        <v>4400.9472499999993</v>
      </c>
      <c r="Q34" s="1"/>
      <c r="R34" s="34">
        <v>565.59</v>
      </c>
      <c r="S34" s="163">
        <v>607.20000000000005</v>
      </c>
      <c r="T34" s="1">
        <f>$I34-S34</f>
        <v>4792.8</v>
      </c>
      <c r="U34" s="14">
        <f t="shared" si="41"/>
        <v>409.29000000000019</v>
      </c>
      <c r="V34" s="43">
        <f t="shared" si="11"/>
        <v>7.5794444444444484E-2</v>
      </c>
      <c r="W34" s="35">
        <f t="shared" si="12"/>
        <v>4425.12</v>
      </c>
      <c r="X34" s="1"/>
      <c r="Y34" s="250">
        <v>557.51</v>
      </c>
      <c r="Z34" s="256">
        <v>607.20000000000005</v>
      </c>
      <c r="AA34" s="252">
        <f>$I34-Z34</f>
        <v>4792.8</v>
      </c>
      <c r="AB34" s="259">
        <f t="shared" si="39"/>
        <v>259.63699999999994</v>
      </c>
      <c r="AC34" s="261">
        <f t="shared" si="42"/>
        <v>149.65300000000025</v>
      </c>
      <c r="AD34" s="262">
        <f t="shared" si="29"/>
        <v>2.7713518518518564E-2</v>
      </c>
      <c r="AE34" s="255">
        <f t="shared" si="20"/>
        <v>4692.8369999999995</v>
      </c>
      <c r="AF34" s="1"/>
      <c r="AG34" s="34">
        <v>557.51</v>
      </c>
      <c r="AH34" s="163">
        <f t="shared" si="17"/>
        <v>851.69785349999995</v>
      </c>
      <c r="AI34" s="1">
        <f t="shared" si="14"/>
        <v>4548.3021465000002</v>
      </c>
      <c r="AJ34" s="6">
        <f t="shared" si="38"/>
        <v>46.144400000000005</v>
      </c>
      <c r="AK34" s="14">
        <f t="shared" si="25"/>
        <v>39.468904937500028</v>
      </c>
      <c r="AL34" s="171">
        <f t="shared" si="30"/>
        <v>7.3090564699074129E-3</v>
      </c>
      <c r="AM34" s="35">
        <f t="shared" si="21"/>
        <v>4803.0210950624996</v>
      </c>
      <c r="AN34" s="1"/>
      <c r="AO34" s="34">
        <v>557.51</v>
      </c>
      <c r="AP34" s="41">
        <f t="shared" si="26"/>
        <v>1080</v>
      </c>
      <c r="AQ34" s="1">
        <f t="shared" ref="AQ34:AQ99" si="43">$I34-AP34</f>
        <v>4320</v>
      </c>
      <c r="AR34" s="1">
        <f t="shared" si="31"/>
        <v>24</v>
      </c>
      <c r="AS34" s="171">
        <f t="shared" si="32"/>
        <v>4.4444444444444444E-3</v>
      </c>
      <c r="AT34" s="35">
        <f t="shared" si="33"/>
        <v>4818.49</v>
      </c>
      <c r="AU34" s="1"/>
      <c r="AV34" s="34">
        <v>557.51</v>
      </c>
      <c r="AW34" s="41">
        <f t="shared" si="34"/>
        <v>1080</v>
      </c>
      <c r="AX34" s="1">
        <f t="shared" ref="AX34:AX37" si="44">$I34-AW34</f>
        <v>4320</v>
      </c>
      <c r="AY34" s="1">
        <f t="shared" si="35"/>
        <v>24</v>
      </c>
      <c r="AZ34" s="171">
        <f t="shared" si="36"/>
        <v>4.4444444444444444E-3</v>
      </c>
      <c r="BA34" s="35">
        <f t="shared" si="37"/>
        <v>4818.49</v>
      </c>
      <c r="BC34" s="17" t="s">
        <v>1</v>
      </c>
      <c r="BD34" s="21">
        <f>BE33+0.01</f>
        <v>9799.8608387693166</v>
      </c>
      <c r="BE34" s="21">
        <v>50000</v>
      </c>
      <c r="BF34" s="162">
        <v>0.27500000000000002</v>
      </c>
      <c r="BG34" s="21">
        <v>1826.4057395560883</v>
      </c>
      <c r="BH34" s="20"/>
    </row>
    <row r="35" spans="2:60" ht="15" customHeight="1" x14ac:dyDescent="0.25">
      <c r="F35" s="1"/>
      <c r="G35" s="1"/>
      <c r="I35" s="5">
        <v>5500</v>
      </c>
      <c r="J35" s="1"/>
      <c r="K35" s="34">
        <v>579.59</v>
      </c>
      <c r="L35" s="41">
        <v>579.59</v>
      </c>
      <c r="M35" s="1">
        <f t="shared" ref="M35:M103" si="45">$I35-L35</f>
        <v>4920.41</v>
      </c>
      <c r="N35" s="1">
        <f t="shared" si="40"/>
        <v>457.11275000000001</v>
      </c>
      <c r="O35" s="43">
        <f t="shared" si="9"/>
        <v>8.3111409090909097E-2</v>
      </c>
      <c r="P35" s="35">
        <f t="shared" si="10"/>
        <v>4463.2972499999996</v>
      </c>
      <c r="Q35" s="1"/>
      <c r="R35" s="34">
        <v>579.59</v>
      </c>
      <c r="S35" s="163">
        <v>607.20000000000005</v>
      </c>
      <c r="T35" s="1">
        <f t="shared" ref="T35:T103" si="46">$I35-S35</f>
        <v>4892.8</v>
      </c>
      <c r="U35" s="14">
        <f t="shared" si="41"/>
        <v>436.79000000000019</v>
      </c>
      <c r="V35" s="43">
        <f t="shared" si="11"/>
        <v>7.9416363636363674E-2</v>
      </c>
      <c r="W35" s="35">
        <f t="shared" si="12"/>
        <v>4483.62</v>
      </c>
      <c r="X35" s="1"/>
      <c r="Y35" s="250">
        <v>571.51</v>
      </c>
      <c r="Z35" s="256">
        <v>607.20000000000005</v>
      </c>
      <c r="AA35" s="252">
        <f t="shared" ref="AA35:AA102" si="47">$I35-Z35</f>
        <v>4892.8</v>
      </c>
      <c r="AB35" s="259">
        <f t="shared" si="39"/>
        <v>246.32249999999988</v>
      </c>
      <c r="AC35" s="261">
        <f t="shared" si="42"/>
        <v>190.46750000000031</v>
      </c>
      <c r="AD35" s="262">
        <f t="shared" si="29"/>
        <v>3.4630454545454603E-2</v>
      </c>
      <c r="AE35" s="255">
        <f t="shared" si="20"/>
        <v>4738.0224999999991</v>
      </c>
      <c r="AF35" s="1"/>
      <c r="AG35" s="34">
        <v>571.51</v>
      </c>
      <c r="AH35" s="163">
        <f t="shared" si="17"/>
        <v>851.69785349999995</v>
      </c>
      <c r="AI35" s="1">
        <f t="shared" si="14"/>
        <v>4648.3021465000002</v>
      </c>
      <c r="AJ35" s="6">
        <f t="shared" si="38"/>
        <v>43.777999999999992</v>
      </c>
      <c r="AK35" s="14">
        <f t="shared" si="25"/>
        <v>49.335304937500041</v>
      </c>
      <c r="AL35" s="171">
        <f t="shared" si="30"/>
        <v>8.9700554431818257E-3</v>
      </c>
      <c r="AM35" s="35">
        <f t="shared" si="21"/>
        <v>4879.1546950624997</v>
      </c>
      <c r="AN35" s="1"/>
      <c r="AO35" s="34">
        <v>571.51</v>
      </c>
      <c r="AP35" s="41">
        <f t="shared" si="26"/>
        <v>1100</v>
      </c>
      <c r="AQ35" s="1">
        <f t="shared" si="43"/>
        <v>4400</v>
      </c>
      <c r="AR35" s="1">
        <f t="shared" si="31"/>
        <v>30</v>
      </c>
      <c r="AS35" s="171">
        <f t="shared" si="32"/>
        <v>5.454545454545455E-3</v>
      </c>
      <c r="AT35" s="35">
        <f t="shared" si="33"/>
        <v>4898.49</v>
      </c>
      <c r="AU35" s="1"/>
      <c r="AV35" s="34">
        <v>571.51</v>
      </c>
      <c r="AW35" s="41">
        <f t="shared" si="34"/>
        <v>1100</v>
      </c>
      <c r="AX35" s="1">
        <f t="shared" si="44"/>
        <v>4400</v>
      </c>
      <c r="AY35" s="1">
        <f t="shared" si="35"/>
        <v>30</v>
      </c>
      <c r="AZ35" s="171">
        <f t="shared" si="36"/>
        <v>5.454545454545455E-3</v>
      </c>
      <c r="BA35" s="35">
        <f t="shared" si="37"/>
        <v>4898.49</v>
      </c>
      <c r="BC35" s="17" t="s">
        <v>1</v>
      </c>
      <c r="BD35" s="21">
        <f t="shared" ref="BD35:BD37" si="48">BE34+0.01</f>
        <v>50000.01</v>
      </c>
      <c r="BE35" s="21">
        <v>80000</v>
      </c>
      <c r="BF35" s="162">
        <v>0.32500000000000001</v>
      </c>
      <c r="BG35" s="21">
        <v>4326.4057395560876</v>
      </c>
      <c r="BH35" s="20"/>
    </row>
    <row r="36" spans="2:60" ht="15" customHeight="1" x14ac:dyDescent="0.25">
      <c r="D36" s="1"/>
      <c r="I36" s="5">
        <v>5600</v>
      </c>
      <c r="J36" s="1"/>
      <c r="K36" s="34">
        <v>593.59</v>
      </c>
      <c r="L36" s="41">
        <v>593.59</v>
      </c>
      <c r="M36" s="1">
        <f t="shared" si="45"/>
        <v>5006.41</v>
      </c>
      <c r="N36" s="1">
        <f t="shared" si="40"/>
        <v>480.7627500000001</v>
      </c>
      <c r="O36" s="43">
        <f t="shared" si="9"/>
        <v>8.5850491071428586E-2</v>
      </c>
      <c r="P36" s="35">
        <f t="shared" si="10"/>
        <v>4525.64725</v>
      </c>
      <c r="Q36" s="1"/>
      <c r="R36" s="34">
        <v>593.59</v>
      </c>
      <c r="S36" s="163">
        <v>607.20000000000005</v>
      </c>
      <c r="T36" s="1">
        <f t="shared" si="46"/>
        <v>4992.8</v>
      </c>
      <c r="U36" s="14">
        <f t="shared" si="41"/>
        <v>464.29000000000019</v>
      </c>
      <c r="V36" s="43">
        <f t="shared" si="11"/>
        <v>8.2908928571428606E-2</v>
      </c>
      <c r="W36" s="35">
        <f t="shared" si="12"/>
        <v>4542.12</v>
      </c>
      <c r="X36" s="1"/>
      <c r="Y36" s="250">
        <v>585.51</v>
      </c>
      <c r="Z36" s="256">
        <v>607.20000000000005</v>
      </c>
      <c r="AA36" s="252">
        <f t="shared" si="47"/>
        <v>4992.8</v>
      </c>
      <c r="AB36" s="259">
        <f t="shared" si="39"/>
        <v>233.00799999999992</v>
      </c>
      <c r="AC36" s="261">
        <f t="shared" si="42"/>
        <v>231.28200000000027</v>
      </c>
      <c r="AD36" s="262">
        <f t="shared" si="29"/>
        <v>4.1300357142857187E-2</v>
      </c>
      <c r="AE36" s="255">
        <f t="shared" si="20"/>
        <v>4783.2079999999996</v>
      </c>
      <c r="AF36" s="1"/>
      <c r="AG36" s="34">
        <v>585.51</v>
      </c>
      <c r="AH36" s="163">
        <f t="shared" si="17"/>
        <v>851.69785349999995</v>
      </c>
      <c r="AI36" s="1">
        <f t="shared" si="14"/>
        <v>4748.3021465000002</v>
      </c>
      <c r="AJ36" s="6">
        <f t="shared" si="38"/>
        <v>41.411599999999993</v>
      </c>
      <c r="AK36" s="14">
        <f t="shared" si="25"/>
        <v>59.20170493750004</v>
      </c>
      <c r="AL36" s="171">
        <f t="shared" si="30"/>
        <v>1.0571733024553578E-2</v>
      </c>
      <c r="AM36" s="35">
        <f t="shared" si="21"/>
        <v>4955.2882950624999</v>
      </c>
      <c r="AN36" s="1"/>
      <c r="AO36" s="34">
        <v>585.51</v>
      </c>
      <c r="AP36" s="41">
        <f t="shared" si="26"/>
        <v>1120</v>
      </c>
      <c r="AQ36" s="1">
        <f t="shared" si="43"/>
        <v>4480</v>
      </c>
      <c r="AR36" s="1">
        <f t="shared" si="31"/>
        <v>36</v>
      </c>
      <c r="AS36" s="171">
        <f t="shared" si="32"/>
        <v>6.4285714285714285E-3</v>
      </c>
      <c r="AT36" s="35">
        <f t="shared" si="33"/>
        <v>4978.49</v>
      </c>
      <c r="AU36" s="1"/>
      <c r="AV36" s="34">
        <v>585.51</v>
      </c>
      <c r="AW36" s="41">
        <f t="shared" si="34"/>
        <v>1120</v>
      </c>
      <c r="AX36" s="1">
        <f t="shared" si="44"/>
        <v>4480</v>
      </c>
      <c r="AY36" s="1">
        <f t="shared" si="35"/>
        <v>36</v>
      </c>
      <c r="AZ36" s="171">
        <f t="shared" si="36"/>
        <v>6.4285714285714285E-3</v>
      </c>
      <c r="BA36" s="35">
        <f t="shared" si="37"/>
        <v>4978.49</v>
      </c>
      <c r="BC36" s="17" t="s">
        <v>1</v>
      </c>
      <c r="BD36" s="21">
        <f t="shared" si="48"/>
        <v>80000.009999999995</v>
      </c>
      <c r="BE36" s="21">
        <v>130000</v>
      </c>
      <c r="BF36" s="162">
        <v>0.375</v>
      </c>
      <c r="BG36" s="21">
        <v>8326.4057395560867</v>
      </c>
      <c r="BH36" s="20"/>
    </row>
    <row r="37" spans="2:60" ht="15" customHeight="1" x14ac:dyDescent="0.25">
      <c r="D37" s="1"/>
      <c r="I37" s="9">
        <v>5607.2</v>
      </c>
      <c r="J37" s="1"/>
      <c r="K37" s="34"/>
      <c r="L37" s="41"/>
      <c r="M37" s="1"/>
      <c r="N37" s="1"/>
      <c r="O37" s="43"/>
      <c r="P37" s="35"/>
      <c r="Q37" s="1"/>
      <c r="R37" s="40">
        <v>586.52</v>
      </c>
      <c r="S37" s="163">
        <v>607.20000000000005</v>
      </c>
      <c r="T37" s="1">
        <f t="shared" ref="T37" si="49">$I37-S37</f>
        <v>5000</v>
      </c>
      <c r="U37" s="14">
        <f t="shared" ref="U37" si="50">T37*$E$22-$F$22</f>
        <v>466.27</v>
      </c>
      <c r="V37" s="43">
        <f t="shared" ref="V37" si="51">U37/$I37</f>
        <v>8.3155585675559987E-2</v>
      </c>
      <c r="W37" s="35">
        <f t="shared" ref="W37" si="52">$I37-R37-U37</f>
        <v>4554.41</v>
      </c>
      <c r="X37" s="1"/>
      <c r="Y37" s="264">
        <v>586.52</v>
      </c>
      <c r="Z37" s="256">
        <v>607.20000000000005</v>
      </c>
      <c r="AA37" s="257">
        <f t="shared" ref="AA37" si="53">$I37-Z37</f>
        <v>5000</v>
      </c>
      <c r="AB37" s="259">
        <f t="shared" si="39"/>
        <v>232.04935599999999</v>
      </c>
      <c r="AC37" s="261">
        <f t="shared" ref="AC37" si="54">AA37*$E$22-$F$22-AB37</f>
        <v>234.22064399999999</v>
      </c>
      <c r="AD37" s="262">
        <f t="shared" ref="AD37" si="55">AC37/$I37</f>
        <v>4.1771408902839209E-2</v>
      </c>
      <c r="AE37" s="255">
        <f t="shared" si="20"/>
        <v>4786.4593560000003</v>
      </c>
      <c r="AF37" s="1"/>
      <c r="AG37" s="40">
        <v>586.52</v>
      </c>
      <c r="AH37" s="163">
        <f t="shared" si="17"/>
        <v>851.69785349999995</v>
      </c>
      <c r="AI37" s="1">
        <f t="shared" si="14"/>
        <v>4755.5021465</v>
      </c>
      <c r="AJ37" s="6">
        <f t="shared" si="38"/>
        <v>41.241219200000018</v>
      </c>
      <c r="AK37" s="14">
        <f t="shared" si="25"/>
        <v>59.912085737499979</v>
      </c>
      <c r="AL37" s="171">
        <f t="shared" si="30"/>
        <v>1.06848490757419E-2</v>
      </c>
      <c r="AM37" s="35">
        <f t="shared" si="21"/>
        <v>4960.7679142625002</v>
      </c>
      <c r="AN37" s="1"/>
      <c r="AO37" s="40">
        <v>586.52</v>
      </c>
      <c r="AP37" s="41">
        <f t="shared" si="26"/>
        <v>1121.44</v>
      </c>
      <c r="AQ37" s="1">
        <f t="shared" si="43"/>
        <v>4485.76</v>
      </c>
      <c r="AR37" s="1">
        <f t="shared" si="31"/>
        <v>36.432000000000016</v>
      </c>
      <c r="AS37" s="171">
        <f t="shared" si="32"/>
        <v>6.4973605364531352E-3</v>
      </c>
      <c r="AT37" s="35">
        <f t="shared" si="33"/>
        <v>4984.2480000000005</v>
      </c>
      <c r="AU37" s="1"/>
      <c r="AV37" s="40">
        <v>586.52</v>
      </c>
      <c r="AW37" s="41">
        <f t="shared" si="34"/>
        <v>1121.44</v>
      </c>
      <c r="AX37" s="1">
        <f t="shared" si="44"/>
        <v>4485.76</v>
      </c>
      <c r="AY37" s="1">
        <f t="shared" si="35"/>
        <v>36.432000000000016</v>
      </c>
      <c r="AZ37" s="171">
        <f t="shared" si="36"/>
        <v>6.4973605364531352E-3</v>
      </c>
      <c r="BA37" s="35">
        <f t="shared" si="37"/>
        <v>4984.2480000000005</v>
      </c>
      <c r="BC37" s="17" t="s">
        <v>6</v>
      </c>
      <c r="BD37" s="21">
        <f t="shared" si="48"/>
        <v>130000.01</v>
      </c>
      <c r="BF37" s="162">
        <v>0.42499999999999999</v>
      </c>
      <c r="BG37" s="21">
        <v>14826.405739556087</v>
      </c>
      <c r="BH37" s="20"/>
    </row>
    <row r="38" spans="2:60" ht="15" customHeight="1" thickBot="1" x14ac:dyDescent="0.35">
      <c r="D38" s="1"/>
      <c r="H38" s="38" t="s">
        <v>55</v>
      </c>
      <c r="I38" s="9">
        <v>5698</v>
      </c>
      <c r="J38" s="1"/>
      <c r="K38" s="34">
        <v>607.30999999999995</v>
      </c>
      <c r="L38" s="41">
        <v>607.30999999999995</v>
      </c>
      <c r="M38" s="1">
        <f t="shared" ref="M38" si="56">$I38-L38</f>
        <v>5090.6900000000005</v>
      </c>
      <c r="N38" s="1">
        <f>M38*$E$10-$F$10</f>
        <v>503.93975000000023</v>
      </c>
      <c r="O38" s="43">
        <f t="shared" ref="O38" si="57">N38/$I38</f>
        <v>8.8441514566514612E-2</v>
      </c>
      <c r="P38" s="35">
        <f t="shared" ref="P38" si="58">$I38-K38-N38</f>
        <v>4586.7502500000001</v>
      </c>
      <c r="Q38" s="1"/>
      <c r="R38" s="34">
        <v>607.30999999999995</v>
      </c>
      <c r="S38" s="130">
        <v>607.30999999999995</v>
      </c>
      <c r="T38" s="1">
        <f t="shared" si="46"/>
        <v>5090.6900000000005</v>
      </c>
      <c r="U38" s="14">
        <f t="shared" si="41"/>
        <v>491.20975000000021</v>
      </c>
      <c r="V38" s="43">
        <f t="shared" si="11"/>
        <v>8.6207397332397365E-2</v>
      </c>
      <c r="W38" s="35">
        <f t="shared" si="12"/>
        <v>4599.4802500000005</v>
      </c>
      <c r="X38" s="1"/>
      <c r="Y38" s="264"/>
      <c r="Z38" s="256"/>
      <c r="AA38" s="252"/>
      <c r="AB38" s="259"/>
      <c r="AC38" s="261"/>
      <c r="AD38" s="262"/>
      <c r="AE38" s="255"/>
      <c r="AF38" s="1"/>
      <c r="AG38" s="40"/>
      <c r="AH38" s="163">
        <f t="shared" si="17"/>
        <v>851.69785349999995</v>
      </c>
      <c r="AI38" s="1"/>
      <c r="AJ38" s="6"/>
      <c r="AK38" s="14"/>
      <c r="AL38" s="43"/>
      <c r="AM38" s="35"/>
      <c r="AN38" s="1"/>
      <c r="AO38" s="40"/>
      <c r="AP38" s="41"/>
      <c r="AQ38" s="1"/>
      <c r="AR38" s="1"/>
      <c r="AS38" s="171"/>
      <c r="AT38" s="35"/>
      <c r="AU38" s="1"/>
      <c r="AV38" s="40"/>
      <c r="AW38" s="41"/>
      <c r="AX38" s="1"/>
      <c r="AY38" s="1"/>
      <c r="AZ38" s="171"/>
      <c r="BA38" s="35"/>
      <c r="BC38" s="26"/>
      <c r="BD38" s="2"/>
      <c r="BE38" s="2"/>
      <c r="BF38" s="2"/>
      <c r="BG38" s="2"/>
      <c r="BH38" s="28"/>
    </row>
    <row r="39" spans="2:60" ht="15" customHeight="1" x14ac:dyDescent="0.25">
      <c r="D39" s="1"/>
      <c r="F39" s="1"/>
      <c r="G39" s="1"/>
      <c r="I39" s="5">
        <v>5700</v>
      </c>
      <c r="J39" s="1"/>
      <c r="K39" s="34">
        <v>607.59</v>
      </c>
      <c r="L39" s="44">
        <v>607.59</v>
      </c>
      <c r="M39" s="1">
        <f t="shared" si="45"/>
        <v>5092.41</v>
      </c>
      <c r="N39" s="1">
        <f t="shared" si="40"/>
        <v>504.41274999999996</v>
      </c>
      <c r="O39" s="43">
        <f t="shared" si="9"/>
        <v>8.8493464912280689E-2</v>
      </c>
      <c r="P39" s="35">
        <f t="shared" si="10"/>
        <v>4587.9972500000003</v>
      </c>
      <c r="Q39" s="1"/>
      <c r="R39" s="34">
        <v>607.59</v>
      </c>
      <c r="S39" s="44">
        <v>607.59</v>
      </c>
      <c r="T39" s="1">
        <f t="shared" si="46"/>
        <v>5092.41</v>
      </c>
      <c r="U39" s="14">
        <f t="shared" si="41"/>
        <v>491.68274999999994</v>
      </c>
      <c r="V39" s="43">
        <f t="shared" si="11"/>
        <v>8.6260131578947352E-2</v>
      </c>
      <c r="W39" s="35">
        <f t="shared" si="12"/>
        <v>4600.7272499999999</v>
      </c>
      <c r="X39" s="1"/>
      <c r="Y39" s="264">
        <v>599.51</v>
      </c>
      <c r="Z39" s="256">
        <v>607.20000000000005</v>
      </c>
      <c r="AA39" s="252">
        <f t="shared" si="47"/>
        <v>5092.8</v>
      </c>
      <c r="AB39" s="259">
        <f t="shared" si="39"/>
        <v>219.69349999999997</v>
      </c>
      <c r="AC39" s="261">
        <f t="shared" si="42"/>
        <v>272.09650000000022</v>
      </c>
      <c r="AD39" s="262">
        <f t="shared" si="29"/>
        <v>4.7736228070175475E-2</v>
      </c>
      <c r="AE39" s="255">
        <f t="shared" si="20"/>
        <v>4828.3934999999992</v>
      </c>
      <c r="AF39" s="1"/>
      <c r="AG39" s="40">
        <v>599.51</v>
      </c>
      <c r="AH39" s="163">
        <f t="shared" si="17"/>
        <v>851.69785349999995</v>
      </c>
      <c r="AI39" s="1">
        <f t="shared" si="14"/>
        <v>4848.3021465000002</v>
      </c>
      <c r="AJ39" s="6">
        <f t="shared" si="38"/>
        <v>39.045199999999994</v>
      </c>
      <c r="AK39" s="14">
        <f t="shared" si="25"/>
        <v>69.068104937500038</v>
      </c>
      <c r="AL39" s="171">
        <f t="shared" si="30"/>
        <v>1.2117211392543866E-2</v>
      </c>
      <c r="AM39" s="35">
        <f t="shared" si="21"/>
        <v>5031.4218950625</v>
      </c>
      <c r="AN39" s="1"/>
      <c r="AO39" s="40">
        <v>599.51</v>
      </c>
      <c r="AP39" s="41">
        <f>I39*20%</f>
        <v>1140</v>
      </c>
      <c r="AQ39" s="1">
        <f t="shared" si="43"/>
        <v>4560</v>
      </c>
      <c r="AR39" s="1">
        <f>AQ39*$BF$19-$BG$19</f>
        <v>42</v>
      </c>
      <c r="AS39" s="171">
        <f t="shared" si="32"/>
        <v>7.3684210526315788E-3</v>
      </c>
      <c r="AT39" s="35">
        <f>$I39-AO39-AR39</f>
        <v>5058.49</v>
      </c>
      <c r="AU39" s="1"/>
      <c r="AV39" s="40">
        <v>599.51</v>
      </c>
      <c r="AW39" s="41">
        <f>I39*20%</f>
        <v>1140</v>
      </c>
      <c r="AX39" s="1">
        <f t="shared" ref="AX39" si="59">$I39-AW39</f>
        <v>4560</v>
      </c>
      <c r="AY39" s="1">
        <f>AX39*$BF$31-$BG$31</f>
        <v>42</v>
      </c>
      <c r="AZ39" s="171">
        <f t="shared" ref="AZ39" si="60">AY39/$I39</f>
        <v>7.3684210526315788E-3</v>
      </c>
      <c r="BA39" s="35">
        <f>$I39-AV39-AY39</f>
        <v>5058.49</v>
      </c>
    </row>
    <row r="40" spans="2:60" ht="15" customHeight="1" x14ac:dyDescent="0.3">
      <c r="D40" s="1"/>
      <c r="F40" s="1"/>
      <c r="G40" s="1"/>
      <c r="H40" s="38" t="s">
        <v>56</v>
      </c>
      <c r="I40" s="9">
        <v>5755</v>
      </c>
      <c r="J40" s="1"/>
      <c r="K40" s="34">
        <v>615.29</v>
      </c>
      <c r="L40" s="44">
        <v>615.29</v>
      </c>
      <c r="M40" s="1">
        <f t="shared" ref="M40" si="61">$I40-L40</f>
        <v>5139.71</v>
      </c>
      <c r="N40" s="1">
        <f t="shared" ref="N40" si="62">M40*$E$10-$F$10</f>
        <v>517.42025000000012</v>
      </c>
      <c r="O40" s="43">
        <f t="shared" ref="O40" si="63">N40/$I40</f>
        <v>8.9907949609035642E-2</v>
      </c>
      <c r="P40" s="35">
        <f t="shared" ref="P40" si="64">$I40-K40-N40</f>
        <v>4622.2897499999999</v>
      </c>
      <c r="Q40" s="1"/>
      <c r="R40" s="34"/>
      <c r="S40" s="44"/>
      <c r="T40" s="1"/>
      <c r="U40" s="14"/>
      <c r="V40" s="43"/>
      <c r="W40" s="35"/>
      <c r="X40" s="1"/>
      <c r="Y40" s="264">
        <v>607.21</v>
      </c>
      <c r="Z40" s="265">
        <v>607.21</v>
      </c>
      <c r="AA40" s="252">
        <f t="shared" si="47"/>
        <v>5147.79</v>
      </c>
      <c r="AB40" s="259">
        <f t="shared" si="39"/>
        <v>212.37052499999993</v>
      </c>
      <c r="AC40" s="261">
        <f t="shared" si="42"/>
        <v>294.54172500000016</v>
      </c>
      <c r="AD40" s="262">
        <f t="shared" si="29"/>
        <v>5.1180143353605587E-2</v>
      </c>
      <c r="AE40" s="255">
        <f t="shared" si="20"/>
        <v>4853.2482749999999</v>
      </c>
      <c r="AF40" s="1"/>
      <c r="AG40" s="40">
        <v>607.21</v>
      </c>
      <c r="AH40" s="163">
        <f t="shared" si="17"/>
        <v>851.69785349999995</v>
      </c>
      <c r="AI40" s="1">
        <f t="shared" si="14"/>
        <v>4903.3021465000002</v>
      </c>
      <c r="AJ40" s="6">
        <f t="shared" si="38"/>
        <v>37.743680000000012</v>
      </c>
      <c r="AK40" s="14">
        <f t="shared" si="25"/>
        <v>74.494624937500021</v>
      </c>
      <c r="AL40" s="171">
        <f t="shared" si="30"/>
        <v>1.2944331005647267E-2</v>
      </c>
      <c r="AM40" s="35">
        <f t="shared" si="21"/>
        <v>5073.2953750625002</v>
      </c>
      <c r="AN40" s="1"/>
      <c r="AO40" s="40"/>
      <c r="AP40" s="41"/>
      <c r="AQ40" s="1"/>
      <c r="AR40" s="1"/>
      <c r="AS40" s="171"/>
      <c r="AT40" s="35"/>
      <c r="AU40" s="1"/>
      <c r="AV40" s="40"/>
      <c r="AW40" s="41"/>
      <c r="AX40" s="1"/>
      <c r="AY40" s="1"/>
      <c r="AZ40" s="171"/>
      <c r="BA40" s="35"/>
    </row>
    <row r="41" spans="2:60" ht="15" customHeight="1" x14ac:dyDescent="0.25">
      <c r="D41" s="1"/>
      <c r="I41" s="5">
        <v>5800</v>
      </c>
      <c r="J41" s="1"/>
      <c r="K41" s="34">
        <v>621.59</v>
      </c>
      <c r="L41" s="44">
        <v>621.59</v>
      </c>
      <c r="M41" s="1">
        <f t="shared" si="45"/>
        <v>5178.41</v>
      </c>
      <c r="N41" s="1">
        <f t="shared" si="40"/>
        <v>528.06275000000005</v>
      </c>
      <c r="O41" s="43">
        <f t="shared" si="9"/>
        <v>9.1045301724137939E-2</v>
      </c>
      <c r="P41" s="35">
        <f t="shared" si="10"/>
        <v>4650.3472499999998</v>
      </c>
      <c r="Q41" s="1"/>
      <c r="R41" s="34">
        <v>621.59</v>
      </c>
      <c r="S41" s="44">
        <v>621.59</v>
      </c>
      <c r="T41" s="1">
        <f t="shared" si="46"/>
        <v>5178.41</v>
      </c>
      <c r="U41" s="14">
        <f t="shared" si="41"/>
        <v>515.33275000000003</v>
      </c>
      <c r="V41" s="43">
        <f t="shared" si="11"/>
        <v>8.885047413793104E-2</v>
      </c>
      <c r="W41" s="35">
        <f t="shared" si="12"/>
        <v>4663.0772500000003</v>
      </c>
      <c r="X41" s="1"/>
      <c r="Y41" s="264">
        <v>613.51</v>
      </c>
      <c r="Z41" s="266">
        <v>613.51</v>
      </c>
      <c r="AA41" s="252">
        <f t="shared" si="47"/>
        <v>5186.49</v>
      </c>
      <c r="AB41" s="259">
        <f t="shared" si="39"/>
        <v>206.37899999999991</v>
      </c>
      <c r="AC41" s="261">
        <f t="shared" si="42"/>
        <v>311.17575000000011</v>
      </c>
      <c r="AD41" s="262">
        <f t="shared" si="29"/>
        <v>5.3650991379310363E-2</v>
      </c>
      <c r="AE41" s="255">
        <f t="shared" si="20"/>
        <v>4875.3142499999994</v>
      </c>
      <c r="AF41" s="1"/>
      <c r="AG41" s="40">
        <v>613.51</v>
      </c>
      <c r="AH41" s="163">
        <f t="shared" si="17"/>
        <v>851.69785349999995</v>
      </c>
      <c r="AI41" s="1">
        <f t="shared" si="14"/>
        <v>4948.3021465000002</v>
      </c>
      <c r="AJ41" s="6">
        <f t="shared" si="38"/>
        <v>36.678799999999995</v>
      </c>
      <c r="AK41" s="14">
        <f t="shared" si="25"/>
        <v>78.934504937500037</v>
      </c>
      <c r="AL41" s="171">
        <f t="shared" si="30"/>
        <v>1.3609397403017249E-2</v>
      </c>
      <c r="AM41" s="35">
        <f t="shared" si="21"/>
        <v>5107.5554950625001</v>
      </c>
      <c r="AN41" s="1"/>
      <c r="AO41" s="40">
        <v>613.51</v>
      </c>
      <c r="AP41" s="41">
        <f t="shared" ref="AP41:AP71" si="65">I41*20%</f>
        <v>1160</v>
      </c>
      <c r="AQ41" s="1">
        <f t="shared" si="43"/>
        <v>4640</v>
      </c>
      <c r="AR41" s="1">
        <f t="shared" ref="AR41:AR58" si="66">AQ41*$BF$19-$BG$19</f>
        <v>48</v>
      </c>
      <c r="AS41" s="171">
        <f t="shared" si="32"/>
        <v>8.2758620689655175E-3</v>
      </c>
      <c r="AT41" s="35">
        <f t="shared" ref="AT41:AT72" si="67">$I41-AO41-AR41</f>
        <v>5138.49</v>
      </c>
      <c r="AU41" s="1"/>
      <c r="AV41" s="40">
        <v>613.51</v>
      </c>
      <c r="AW41" s="41">
        <f t="shared" ref="AW41:AW71" si="68">I41*20%</f>
        <v>1160</v>
      </c>
      <c r="AX41" s="1">
        <f t="shared" ref="AX41:AX103" si="69">$I41-AW41</f>
        <v>4640</v>
      </c>
      <c r="AY41" s="1">
        <f t="shared" ref="AY41:AY58" si="70">AX41*$BF$31-$BG$31</f>
        <v>48</v>
      </c>
      <c r="AZ41" s="171">
        <f t="shared" ref="AZ41:AZ103" si="71">AY41/$I41</f>
        <v>8.2758620689655175E-3</v>
      </c>
      <c r="BA41" s="35">
        <f t="shared" ref="BA41:BA103" si="72">$I41-AV41-AY41</f>
        <v>5138.49</v>
      </c>
    </row>
    <row r="42" spans="2:60" ht="15" customHeight="1" x14ac:dyDescent="0.25">
      <c r="D42" s="1"/>
      <c r="G42" s="1"/>
      <c r="I42" s="5">
        <v>5900</v>
      </c>
      <c r="J42" s="1"/>
      <c r="K42" s="34">
        <v>635.59</v>
      </c>
      <c r="L42" s="44">
        <v>635.59</v>
      </c>
      <c r="M42" s="1">
        <f t="shared" si="45"/>
        <v>5264.41</v>
      </c>
      <c r="N42" s="1">
        <f t="shared" si="40"/>
        <v>551.71275000000014</v>
      </c>
      <c r="O42" s="43">
        <f t="shared" si="9"/>
        <v>9.3510635593220356E-2</v>
      </c>
      <c r="P42" s="35">
        <f t="shared" si="10"/>
        <v>4712.6972499999993</v>
      </c>
      <c r="Q42" s="1"/>
      <c r="R42" s="34">
        <v>635.59</v>
      </c>
      <c r="S42" s="44">
        <v>635.59</v>
      </c>
      <c r="T42" s="1">
        <f t="shared" si="46"/>
        <v>5264.41</v>
      </c>
      <c r="U42" s="14">
        <f t="shared" si="41"/>
        <v>538.98275000000012</v>
      </c>
      <c r="V42" s="43">
        <f t="shared" si="11"/>
        <v>9.1353008474576294E-2</v>
      </c>
      <c r="W42" s="35">
        <f t="shared" si="12"/>
        <v>4725.4272499999997</v>
      </c>
      <c r="X42" s="1"/>
      <c r="Y42" s="264">
        <v>627.51</v>
      </c>
      <c r="Z42" s="266">
        <v>627.51</v>
      </c>
      <c r="AA42" s="252">
        <f t="shared" si="47"/>
        <v>5272.49</v>
      </c>
      <c r="AB42" s="259">
        <f t="shared" si="39"/>
        <v>193.06449999999995</v>
      </c>
      <c r="AC42" s="261">
        <f t="shared" si="42"/>
        <v>348.14025000000015</v>
      </c>
      <c r="AD42" s="262">
        <f t="shared" si="29"/>
        <v>5.9006822033898329E-2</v>
      </c>
      <c r="AE42" s="255">
        <f t="shared" si="20"/>
        <v>4924.3497499999994</v>
      </c>
      <c r="AF42" s="1"/>
      <c r="AG42" s="40">
        <v>627.51</v>
      </c>
      <c r="AH42" s="163">
        <f t="shared" si="17"/>
        <v>851.69785349999995</v>
      </c>
      <c r="AI42" s="1">
        <f t="shared" si="14"/>
        <v>5048.3021465000002</v>
      </c>
      <c r="AJ42" s="6">
        <f t="shared" si="38"/>
        <v>34.312399999999997</v>
      </c>
      <c r="AK42" s="14">
        <f t="shared" si="25"/>
        <v>88.800904937500036</v>
      </c>
      <c r="AL42" s="171">
        <f t="shared" si="30"/>
        <v>1.5051000836864413E-2</v>
      </c>
      <c r="AM42" s="35">
        <f t="shared" si="21"/>
        <v>5183.6890950625002</v>
      </c>
      <c r="AN42" s="1"/>
      <c r="AO42" s="40">
        <v>627.51</v>
      </c>
      <c r="AP42" s="41">
        <f t="shared" si="65"/>
        <v>1180</v>
      </c>
      <c r="AQ42" s="1">
        <f t="shared" si="43"/>
        <v>4720</v>
      </c>
      <c r="AR42" s="1">
        <f t="shared" si="66"/>
        <v>54</v>
      </c>
      <c r="AS42" s="171">
        <f t="shared" si="32"/>
        <v>9.1525423728813556E-3</v>
      </c>
      <c r="AT42" s="35">
        <f t="shared" si="67"/>
        <v>5218.49</v>
      </c>
      <c r="AU42" s="1"/>
      <c r="AV42" s="40">
        <v>627.51</v>
      </c>
      <c r="AW42" s="41">
        <f t="shared" si="68"/>
        <v>1180</v>
      </c>
      <c r="AX42" s="1">
        <f t="shared" si="69"/>
        <v>4720</v>
      </c>
      <c r="AY42" s="1">
        <f t="shared" si="70"/>
        <v>54</v>
      </c>
      <c r="AZ42" s="171">
        <f t="shared" si="71"/>
        <v>9.1525423728813556E-3</v>
      </c>
      <c r="BA42" s="35">
        <f t="shared" si="72"/>
        <v>5218.49</v>
      </c>
    </row>
    <row r="43" spans="2:60" ht="15" customHeight="1" x14ac:dyDescent="0.25">
      <c r="I43" s="5">
        <v>6000</v>
      </c>
      <c r="J43" s="1"/>
      <c r="K43" s="34">
        <v>649.59</v>
      </c>
      <c r="L43" s="44">
        <v>649.59</v>
      </c>
      <c r="M43" s="1">
        <f t="shared" si="45"/>
        <v>5350.41</v>
      </c>
      <c r="N43" s="1">
        <f t="shared" si="40"/>
        <v>575.36275000000001</v>
      </c>
      <c r="O43" s="43">
        <f t="shared" si="9"/>
        <v>9.5893791666666672E-2</v>
      </c>
      <c r="P43" s="35">
        <f t="shared" si="10"/>
        <v>4775.0472499999996</v>
      </c>
      <c r="Q43" s="1"/>
      <c r="R43" s="34">
        <v>649.59</v>
      </c>
      <c r="S43" s="44">
        <v>649.59</v>
      </c>
      <c r="T43" s="1">
        <f t="shared" si="46"/>
        <v>5350.41</v>
      </c>
      <c r="U43" s="14">
        <f t="shared" si="41"/>
        <v>562.63274999999999</v>
      </c>
      <c r="V43" s="43">
        <f t="shared" si="11"/>
        <v>9.3772124999999998E-2</v>
      </c>
      <c r="W43" s="35">
        <f t="shared" si="12"/>
        <v>4787.7772500000001</v>
      </c>
      <c r="X43" s="1"/>
      <c r="Y43" s="264">
        <v>641.51</v>
      </c>
      <c r="Z43" s="266">
        <v>641.51</v>
      </c>
      <c r="AA43" s="252">
        <f t="shared" si="47"/>
        <v>5358.49</v>
      </c>
      <c r="AB43" s="259">
        <f t="shared" si="39"/>
        <v>179.74999999999989</v>
      </c>
      <c r="AC43" s="261">
        <f t="shared" si="42"/>
        <v>385.10475000000008</v>
      </c>
      <c r="AD43" s="262">
        <f t="shared" si="29"/>
        <v>6.4184125000000009E-2</v>
      </c>
      <c r="AE43" s="255">
        <f t="shared" si="20"/>
        <v>4973.3852499999994</v>
      </c>
      <c r="AF43" s="1"/>
      <c r="AG43" s="40">
        <v>641.51</v>
      </c>
      <c r="AH43" s="163">
        <f t="shared" si="17"/>
        <v>851.69785349999995</v>
      </c>
      <c r="AI43" s="1">
        <f t="shared" si="14"/>
        <v>5148.3021465000002</v>
      </c>
      <c r="AJ43" s="6">
        <f t="shared" si="38"/>
        <v>31.945999999999998</v>
      </c>
      <c r="AK43" s="14">
        <f>AI43*$BF$8-$BG$8-AJ43</f>
        <v>105.46060255000012</v>
      </c>
      <c r="AL43" s="171">
        <f t="shared" si="30"/>
        <v>1.7576767091666685E-2</v>
      </c>
      <c r="AM43" s="35">
        <f t="shared" si="21"/>
        <v>5253.02939745</v>
      </c>
      <c r="AN43" s="1"/>
      <c r="AO43" s="40">
        <v>641.51</v>
      </c>
      <c r="AP43" s="41">
        <f t="shared" si="65"/>
        <v>1200</v>
      </c>
      <c r="AQ43" s="1">
        <f t="shared" si="43"/>
        <v>4800</v>
      </c>
      <c r="AR43" s="1">
        <f t="shared" si="66"/>
        <v>60</v>
      </c>
      <c r="AS43" s="171">
        <f t="shared" si="32"/>
        <v>0.01</v>
      </c>
      <c r="AT43" s="35">
        <f t="shared" si="67"/>
        <v>5298.49</v>
      </c>
      <c r="AU43" s="1"/>
      <c r="AV43" s="40">
        <v>641.51</v>
      </c>
      <c r="AW43" s="41">
        <f t="shared" si="68"/>
        <v>1200</v>
      </c>
      <c r="AX43" s="1">
        <f t="shared" si="69"/>
        <v>4800</v>
      </c>
      <c r="AY43" s="1">
        <f t="shared" si="70"/>
        <v>60</v>
      </c>
      <c r="AZ43" s="171">
        <f t="shared" si="71"/>
        <v>0.01</v>
      </c>
      <c r="BA43" s="35">
        <f t="shared" si="72"/>
        <v>5298.49</v>
      </c>
    </row>
    <row r="44" spans="2:60" ht="15" customHeight="1" x14ac:dyDescent="0.25">
      <c r="G44" s="1"/>
      <c r="I44" s="5">
        <v>6100</v>
      </c>
      <c r="J44" s="1"/>
      <c r="K44" s="34">
        <v>663.59</v>
      </c>
      <c r="L44" s="44">
        <v>663.59</v>
      </c>
      <c r="M44" s="1">
        <f t="shared" si="45"/>
        <v>5436.41</v>
      </c>
      <c r="N44" s="1">
        <f t="shared" si="40"/>
        <v>599.0127500000001</v>
      </c>
      <c r="O44" s="43">
        <f t="shared" si="9"/>
        <v>9.8198811475409847E-2</v>
      </c>
      <c r="P44" s="35">
        <f t="shared" si="10"/>
        <v>4837.39725</v>
      </c>
      <c r="Q44" s="1"/>
      <c r="R44" s="34">
        <v>663.59</v>
      </c>
      <c r="S44" s="44">
        <v>663.59</v>
      </c>
      <c r="T44" s="1">
        <f t="shared" si="46"/>
        <v>5436.41</v>
      </c>
      <c r="U44" s="14">
        <f t="shared" si="41"/>
        <v>586.28275000000008</v>
      </c>
      <c r="V44" s="43">
        <f t="shared" si="11"/>
        <v>9.6111926229508204E-2</v>
      </c>
      <c r="W44" s="35">
        <f t="shared" si="12"/>
        <v>4850.1272499999995</v>
      </c>
      <c r="X44" s="1"/>
      <c r="Y44" s="264">
        <v>655.51</v>
      </c>
      <c r="Z44" s="266">
        <v>655.51</v>
      </c>
      <c r="AA44" s="252">
        <f t="shared" si="47"/>
        <v>5444.49</v>
      </c>
      <c r="AB44" s="259">
        <f t="shared" si="39"/>
        <v>166.43549999999993</v>
      </c>
      <c r="AC44" s="261">
        <f t="shared" si="42"/>
        <v>422.06925000000012</v>
      </c>
      <c r="AD44" s="262">
        <f t="shared" si="29"/>
        <v>6.9191680327868876E-2</v>
      </c>
      <c r="AE44" s="255">
        <f>$I44-Y44-AC44</f>
        <v>5022.4207499999993</v>
      </c>
      <c r="AF44" s="1"/>
      <c r="AG44" s="40">
        <v>655.51</v>
      </c>
      <c r="AH44" s="163">
        <f t="shared" si="17"/>
        <v>851.69785349999995</v>
      </c>
      <c r="AI44" s="1">
        <f t="shared" si="14"/>
        <v>5248.3021465000002</v>
      </c>
      <c r="AJ44" s="6">
        <f t="shared" si="38"/>
        <v>29.579599999999999</v>
      </c>
      <c r="AK44" s="14">
        <f>AI44*$BF$8-$BG$8-AJ44</f>
        <v>122.82700255000012</v>
      </c>
      <c r="AL44" s="171">
        <f t="shared" si="30"/>
        <v>2.0135574188524609E-2</v>
      </c>
      <c r="AM44" s="35">
        <f t="shared" si="21"/>
        <v>5321.6629974499992</v>
      </c>
      <c r="AN44" s="1"/>
      <c r="AO44" s="40">
        <v>655.51</v>
      </c>
      <c r="AP44" s="41">
        <f t="shared" si="65"/>
        <v>1220</v>
      </c>
      <c r="AQ44" s="1">
        <f t="shared" si="43"/>
        <v>4880</v>
      </c>
      <c r="AR44" s="1">
        <f t="shared" si="66"/>
        <v>66</v>
      </c>
      <c r="AS44" s="171">
        <f t="shared" si="32"/>
        <v>1.0819672131147541E-2</v>
      </c>
      <c r="AT44" s="35">
        <f t="shared" si="67"/>
        <v>5378.49</v>
      </c>
      <c r="AU44" s="1"/>
      <c r="AV44" s="40">
        <v>655.51</v>
      </c>
      <c r="AW44" s="41">
        <f t="shared" si="68"/>
        <v>1220</v>
      </c>
      <c r="AX44" s="1">
        <f t="shared" si="69"/>
        <v>4880</v>
      </c>
      <c r="AY44" s="1">
        <f t="shared" si="70"/>
        <v>66</v>
      </c>
      <c r="AZ44" s="171">
        <f t="shared" si="71"/>
        <v>1.0819672131147541E-2</v>
      </c>
      <c r="BA44" s="35">
        <f t="shared" si="72"/>
        <v>5378.49</v>
      </c>
    </row>
    <row r="45" spans="2:60" ht="15" customHeight="1" x14ac:dyDescent="0.25">
      <c r="I45" s="5">
        <v>6200</v>
      </c>
      <c r="J45" s="1"/>
      <c r="K45" s="34">
        <v>677.59</v>
      </c>
      <c r="L45" s="44">
        <v>677.59</v>
      </c>
      <c r="M45" s="1">
        <f t="shared" si="45"/>
        <v>5522.41</v>
      </c>
      <c r="N45" s="1">
        <f t="shared" si="40"/>
        <v>622.66275000000019</v>
      </c>
      <c r="O45" s="43">
        <f t="shared" si="9"/>
        <v>0.10042947580645165</v>
      </c>
      <c r="P45" s="35">
        <f t="shared" si="10"/>
        <v>4899.7472499999994</v>
      </c>
      <c r="Q45" s="1"/>
      <c r="R45" s="34">
        <v>677.59</v>
      </c>
      <c r="S45" s="44">
        <v>677.59</v>
      </c>
      <c r="T45" s="1">
        <f t="shared" si="46"/>
        <v>5522.41</v>
      </c>
      <c r="U45" s="14">
        <f t="shared" si="41"/>
        <v>609.93275000000017</v>
      </c>
      <c r="V45" s="43">
        <f t="shared" si="11"/>
        <v>9.8376250000000026E-2</v>
      </c>
      <c r="W45" s="35">
        <f t="shared" si="12"/>
        <v>4912.4772499999999</v>
      </c>
      <c r="X45" s="1"/>
      <c r="Y45" s="264">
        <v>669.51</v>
      </c>
      <c r="Z45" s="266">
        <v>669.51</v>
      </c>
      <c r="AA45" s="252">
        <f t="shared" si="47"/>
        <v>5530.49</v>
      </c>
      <c r="AB45" s="259">
        <f t="shared" si="39"/>
        <v>153.12099999999987</v>
      </c>
      <c r="AC45" s="261">
        <f t="shared" si="42"/>
        <v>459.03375000000028</v>
      </c>
      <c r="AD45" s="262">
        <f t="shared" si="29"/>
        <v>7.4037701612903267E-2</v>
      </c>
      <c r="AE45" s="255">
        <f>$I45-Y45-AC45</f>
        <v>5071.4562499999993</v>
      </c>
      <c r="AF45" s="1"/>
      <c r="AG45" s="40">
        <v>669.51</v>
      </c>
      <c r="AH45" s="163">
        <f t="shared" si="17"/>
        <v>851.69785349999995</v>
      </c>
      <c r="AI45" s="1">
        <f t="shared" si="14"/>
        <v>5348.3021465000002</v>
      </c>
      <c r="AJ45" s="6">
        <f t="shared" si="38"/>
        <v>27.213200000000001</v>
      </c>
      <c r="AK45" s="14">
        <f>AI45*$BF$8-$BG$8-AJ45</f>
        <v>140.19340255000012</v>
      </c>
      <c r="AL45" s="171">
        <f t="shared" si="30"/>
        <v>2.2611839120967762E-2</v>
      </c>
      <c r="AM45" s="35">
        <f t="shared" si="21"/>
        <v>5390.2965974499994</v>
      </c>
      <c r="AN45" s="1"/>
      <c r="AO45" s="40">
        <v>669.51</v>
      </c>
      <c r="AP45" s="41">
        <f t="shared" si="65"/>
        <v>1240</v>
      </c>
      <c r="AQ45" s="1">
        <f t="shared" si="43"/>
        <v>4960</v>
      </c>
      <c r="AR45" s="1">
        <f t="shared" si="66"/>
        <v>72</v>
      </c>
      <c r="AS45" s="171">
        <f t="shared" si="32"/>
        <v>1.1612903225806452E-2</v>
      </c>
      <c r="AT45" s="35">
        <f t="shared" si="67"/>
        <v>5458.49</v>
      </c>
      <c r="AU45" s="1"/>
      <c r="AV45" s="40">
        <v>669.51</v>
      </c>
      <c r="AW45" s="41">
        <f t="shared" si="68"/>
        <v>1240</v>
      </c>
      <c r="AX45" s="1">
        <f t="shared" si="69"/>
        <v>4960</v>
      </c>
      <c r="AY45" s="1">
        <f t="shared" si="70"/>
        <v>72</v>
      </c>
      <c r="AZ45" s="171">
        <f t="shared" si="71"/>
        <v>1.1612903225806452E-2</v>
      </c>
      <c r="BA45" s="35">
        <f t="shared" si="72"/>
        <v>5458.49</v>
      </c>
    </row>
    <row r="46" spans="2:60" ht="15" customHeight="1" x14ac:dyDescent="0.3">
      <c r="B46" s="13"/>
      <c r="I46" s="5">
        <v>6300</v>
      </c>
      <c r="J46" s="1"/>
      <c r="K46" s="34">
        <v>691.59</v>
      </c>
      <c r="L46" s="44">
        <v>691.59</v>
      </c>
      <c r="M46" s="1">
        <f t="shared" si="45"/>
        <v>5608.41</v>
      </c>
      <c r="N46" s="1">
        <f t="shared" si="40"/>
        <v>646.31275000000005</v>
      </c>
      <c r="O46" s="43">
        <f t="shared" si="9"/>
        <v>0.1025893253968254</v>
      </c>
      <c r="P46" s="35">
        <f t="shared" si="10"/>
        <v>4962.0972499999998</v>
      </c>
      <c r="Q46" s="1"/>
      <c r="R46" s="34">
        <v>691.59</v>
      </c>
      <c r="S46" s="44">
        <v>691.59</v>
      </c>
      <c r="T46" s="1">
        <f t="shared" si="46"/>
        <v>5608.41</v>
      </c>
      <c r="U46" s="14">
        <f t="shared" si="41"/>
        <v>633.58275000000003</v>
      </c>
      <c r="V46" s="43">
        <f t="shared" si="11"/>
        <v>0.10056869047619048</v>
      </c>
      <c r="W46" s="35">
        <f t="shared" si="12"/>
        <v>4974.8272500000003</v>
      </c>
      <c r="X46" s="1"/>
      <c r="Y46" s="264">
        <v>683.51</v>
      </c>
      <c r="Z46" s="266">
        <v>683.51</v>
      </c>
      <c r="AA46" s="252">
        <f t="shared" si="47"/>
        <v>5616.49</v>
      </c>
      <c r="AB46" s="259">
        <f t="shared" si="39"/>
        <v>139.80649999999991</v>
      </c>
      <c r="AC46" s="261">
        <f t="shared" si="42"/>
        <v>495.9982500000001</v>
      </c>
      <c r="AD46" s="262">
        <f t="shared" si="29"/>
        <v>7.8729880952380968E-2</v>
      </c>
      <c r="AE46" s="255">
        <f>$I46-Y46-AC46</f>
        <v>5120.4917499999992</v>
      </c>
      <c r="AF46" s="1"/>
      <c r="AG46" s="40">
        <v>683.51</v>
      </c>
      <c r="AH46" s="163">
        <f t="shared" si="17"/>
        <v>851.69785349999995</v>
      </c>
      <c r="AI46" s="1">
        <f t="shared" si="14"/>
        <v>5448.3021465000002</v>
      </c>
      <c r="AJ46" s="6">
        <f t="shared" si="38"/>
        <v>24.846800000000002</v>
      </c>
      <c r="AK46" s="14">
        <f>AI46*$BF$8-$BG$8-AJ46</f>
        <v>157.55980255000011</v>
      </c>
      <c r="AL46" s="171">
        <f t="shared" si="30"/>
        <v>2.5009492468253985E-2</v>
      </c>
      <c r="AM46" s="35">
        <f t="shared" si="21"/>
        <v>5458.9301974499995</v>
      </c>
      <c r="AN46" s="1"/>
      <c r="AO46" s="40">
        <v>683.51</v>
      </c>
      <c r="AP46" s="41">
        <f t="shared" si="65"/>
        <v>1260</v>
      </c>
      <c r="AQ46" s="1">
        <f t="shared" si="43"/>
        <v>5040</v>
      </c>
      <c r="AR46" s="1">
        <f t="shared" si="66"/>
        <v>78</v>
      </c>
      <c r="AS46" s="171">
        <f t="shared" si="32"/>
        <v>1.2380952380952381E-2</v>
      </c>
      <c r="AT46" s="35">
        <f t="shared" si="67"/>
        <v>5538.49</v>
      </c>
      <c r="AU46" s="1"/>
      <c r="AV46" s="40">
        <v>683.51</v>
      </c>
      <c r="AW46" s="41">
        <f t="shared" si="68"/>
        <v>1260</v>
      </c>
      <c r="AX46" s="1">
        <f t="shared" si="69"/>
        <v>5040</v>
      </c>
      <c r="AY46" s="1">
        <f t="shared" si="70"/>
        <v>78</v>
      </c>
      <c r="AZ46" s="171">
        <f t="shared" si="71"/>
        <v>1.2380952380952381E-2</v>
      </c>
      <c r="BA46" s="35">
        <f t="shared" si="72"/>
        <v>5538.49</v>
      </c>
    </row>
    <row r="47" spans="2:60" ht="15" customHeight="1" x14ac:dyDescent="0.25">
      <c r="I47" s="5">
        <v>6400</v>
      </c>
      <c r="J47" s="1"/>
      <c r="K47" s="34">
        <v>705.59</v>
      </c>
      <c r="L47" s="44">
        <v>705.59</v>
      </c>
      <c r="M47" s="1">
        <f t="shared" si="45"/>
        <v>5694.41</v>
      </c>
      <c r="N47" s="1">
        <f t="shared" si="40"/>
        <v>669.96275000000014</v>
      </c>
      <c r="O47" s="43">
        <f t="shared" si="9"/>
        <v>0.10468167968750003</v>
      </c>
      <c r="P47" s="35">
        <f t="shared" si="10"/>
        <v>5024.4472499999993</v>
      </c>
      <c r="Q47" s="1"/>
      <c r="R47" s="34">
        <v>705.59</v>
      </c>
      <c r="S47" s="44">
        <v>705.59</v>
      </c>
      <c r="T47" s="1">
        <f t="shared" si="46"/>
        <v>5694.41</v>
      </c>
      <c r="U47" s="14">
        <f t="shared" si="41"/>
        <v>657.23275000000012</v>
      </c>
      <c r="V47" s="43">
        <f t="shared" si="11"/>
        <v>0.10269261718750002</v>
      </c>
      <c r="W47" s="35">
        <f t="shared" si="12"/>
        <v>5037.1772499999997</v>
      </c>
      <c r="X47" s="1"/>
      <c r="Y47" s="264">
        <v>697.51</v>
      </c>
      <c r="Z47" s="266">
        <v>697.51</v>
      </c>
      <c r="AA47" s="252">
        <f t="shared" si="47"/>
        <v>5702.49</v>
      </c>
      <c r="AB47" s="259">
        <f t="shared" si="39"/>
        <v>126.49199999999996</v>
      </c>
      <c r="AC47" s="261">
        <f t="shared" si="42"/>
        <v>532.96275000000014</v>
      </c>
      <c r="AD47" s="262">
        <f t="shared" si="29"/>
        <v>8.3275429687500027E-2</v>
      </c>
      <c r="AE47" s="255">
        <f>$I47-Y47-AC47</f>
        <v>5169.5272499999992</v>
      </c>
      <c r="AF47" s="1"/>
      <c r="AG47" s="40">
        <v>697.51</v>
      </c>
      <c r="AH47" s="163">
        <f t="shared" si="17"/>
        <v>851.69785349999995</v>
      </c>
      <c r="AI47" s="1">
        <f t="shared" si="14"/>
        <v>5548.3021465000002</v>
      </c>
      <c r="AJ47" s="6">
        <f t="shared" si="38"/>
        <v>22.480400000000003</v>
      </c>
      <c r="AK47" s="14">
        <f t="shared" ref="AK47:AK56" si="73">AI47*$BF$8-$BG$8-AJ47</f>
        <v>174.92620255000011</v>
      </c>
      <c r="AL47" s="171">
        <f t="shared" si="30"/>
        <v>2.7332219148437517E-2</v>
      </c>
      <c r="AM47" s="35">
        <f t="shared" si="21"/>
        <v>5527.5637974499996</v>
      </c>
      <c r="AN47" s="1"/>
      <c r="AO47" s="40">
        <v>697.51</v>
      </c>
      <c r="AP47" s="41">
        <f t="shared" si="65"/>
        <v>1280</v>
      </c>
      <c r="AQ47" s="1">
        <f t="shared" si="43"/>
        <v>5120</v>
      </c>
      <c r="AR47" s="1">
        <f t="shared" si="66"/>
        <v>84</v>
      </c>
      <c r="AS47" s="171">
        <f t="shared" si="32"/>
        <v>1.3125E-2</v>
      </c>
      <c r="AT47" s="35">
        <f t="shared" si="67"/>
        <v>5618.49</v>
      </c>
      <c r="AU47" s="1"/>
      <c r="AV47" s="40">
        <v>697.51</v>
      </c>
      <c r="AW47" s="41">
        <f t="shared" si="68"/>
        <v>1280</v>
      </c>
      <c r="AX47" s="1">
        <f t="shared" si="69"/>
        <v>5120</v>
      </c>
      <c r="AY47" s="1">
        <f t="shared" si="70"/>
        <v>84</v>
      </c>
      <c r="AZ47" s="171">
        <f t="shared" si="71"/>
        <v>1.3125E-2</v>
      </c>
      <c r="BA47" s="35">
        <f t="shared" si="72"/>
        <v>5618.49</v>
      </c>
    </row>
    <row r="48" spans="2:60" ht="15" customHeight="1" x14ac:dyDescent="0.3">
      <c r="H48" s="38" t="s">
        <v>143</v>
      </c>
      <c r="I48" s="9">
        <v>6484</v>
      </c>
      <c r="J48" s="1"/>
      <c r="K48" s="34"/>
      <c r="L48" s="44"/>
      <c r="M48" s="1"/>
      <c r="N48" s="1"/>
      <c r="O48" s="43"/>
      <c r="P48" s="35"/>
      <c r="Q48" s="1"/>
      <c r="R48" s="34"/>
      <c r="S48" s="44"/>
      <c r="T48" s="1"/>
      <c r="U48" s="14"/>
      <c r="V48" s="43"/>
      <c r="W48" s="35"/>
      <c r="X48" s="1"/>
      <c r="Y48" s="264">
        <v>709.27</v>
      </c>
      <c r="Z48" s="266">
        <v>709.27</v>
      </c>
      <c r="AA48" s="252">
        <f t="shared" si="47"/>
        <v>5774.73</v>
      </c>
      <c r="AB48" s="259">
        <f t="shared" si="39"/>
        <v>115.30781999999988</v>
      </c>
      <c r="AC48" s="261">
        <f t="shared" si="42"/>
        <v>564.01293000000021</v>
      </c>
      <c r="AD48" s="262">
        <f t="shared" si="29"/>
        <v>8.6985337754472578E-2</v>
      </c>
      <c r="AE48" s="255">
        <f t="shared" ref="AE48" si="74">$I48-Y48-AC48</f>
        <v>5210.7170699999997</v>
      </c>
      <c r="AF48" s="1"/>
      <c r="AG48" s="40">
        <v>709.27</v>
      </c>
      <c r="AH48" s="163">
        <f t="shared" si="17"/>
        <v>851.69785349999995</v>
      </c>
      <c r="AI48" s="1">
        <f t="shared" si="14"/>
        <v>5632.3021465000002</v>
      </c>
      <c r="AJ48" s="6">
        <f t="shared" si="38"/>
        <v>20.492624000000006</v>
      </c>
      <c r="AK48" s="14">
        <f t="shared" si="73"/>
        <v>189.51397855000013</v>
      </c>
      <c r="AL48" s="171">
        <f t="shared" si="30"/>
        <v>2.9227942404380033E-2</v>
      </c>
      <c r="AM48" s="35">
        <f t="shared" si="21"/>
        <v>5585.2160214499991</v>
      </c>
      <c r="AN48" s="1"/>
      <c r="AO48" s="40">
        <v>709.27</v>
      </c>
      <c r="AP48" s="41">
        <f t="shared" si="65"/>
        <v>1296.8000000000002</v>
      </c>
      <c r="AQ48" s="1">
        <f t="shared" ref="AQ48" si="75">$I48-AP48</f>
        <v>5187.2</v>
      </c>
      <c r="AR48" s="1">
        <f t="shared" si="66"/>
        <v>89.039999999999964</v>
      </c>
      <c r="AS48" s="171">
        <f t="shared" ref="AS48" si="76">AR48/$I48</f>
        <v>1.3732264034546571E-2</v>
      </c>
      <c r="AT48" s="35">
        <f t="shared" si="67"/>
        <v>5685.69</v>
      </c>
      <c r="AU48" s="1"/>
      <c r="AV48" s="40">
        <v>709.27</v>
      </c>
      <c r="AW48" s="41">
        <f t="shared" si="68"/>
        <v>1296.8000000000002</v>
      </c>
      <c r="AX48" s="1">
        <f t="shared" si="69"/>
        <v>5187.2</v>
      </c>
      <c r="AY48" s="1">
        <f t="shared" si="70"/>
        <v>89.039999999999964</v>
      </c>
      <c r="AZ48" s="171">
        <f t="shared" si="71"/>
        <v>1.3732264034546571E-2</v>
      </c>
      <c r="BA48" s="35">
        <f t="shared" si="72"/>
        <v>5685.69</v>
      </c>
    </row>
    <row r="49" spans="8:54" ht="15" customHeight="1" x14ac:dyDescent="0.25">
      <c r="I49" s="5">
        <v>6500</v>
      </c>
      <c r="J49" s="1"/>
      <c r="K49" s="34">
        <v>719.59</v>
      </c>
      <c r="L49" s="44">
        <v>719.59</v>
      </c>
      <c r="M49" s="1">
        <f t="shared" si="45"/>
        <v>5780.41</v>
      </c>
      <c r="N49" s="1">
        <f t="shared" si="40"/>
        <v>693.61275000000001</v>
      </c>
      <c r="O49" s="43">
        <f t="shared" si="9"/>
        <v>0.10670965384615384</v>
      </c>
      <c r="P49" s="35">
        <f t="shared" si="10"/>
        <v>5086.7972499999996</v>
      </c>
      <c r="Q49" s="1"/>
      <c r="R49" s="34">
        <v>719.59</v>
      </c>
      <c r="S49" s="44">
        <v>719.59</v>
      </c>
      <c r="T49" s="1">
        <f t="shared" si="46"/>
        <v>5780.41</v>
      </c>
      <c r="U49" s="14">
        <f t="shared" si="41"/>
        <v>680.88274999999999</v>
      </c>
      <c r="V49" s="43">
        <f t="shared" si="11"/>
        <v>0.10475119230769231</v>
      </c>
      <c r="W49" s="35">
        <f t="shared" si="12"/>
        <v>5099.5272500000001</v>
      </c>
      <c r="X49" s="1"/>
      <c r="Y49" s="264">
        <v>711.51</v>
      </c>
      <c r="Z49" s="266">
        <v>711.51</v>
      </c>
      <c r="AA49" s="252">
        <f t="shared" si="47"/>
        <v>5788.49</v>
      </c>
      <c r="AB49" s="259">
        <f t="shared" si="39"/>
        <v>113.1774999999999</v>
      </c>
      <c r="AC49" s="261">
        <f t="shared" si="42"/>
        <v>569.92725000000007</v>
      </c>
      <c r="AD49" s="262">
        <f t="shared" si="29"/>
        <v>8.7681115384615399E-2</v>
      </c>
      <c r="AE49" s="255">
        <f>$I49-Y49-AC49</f>
        <v>5218.5627500000001</v>
      </c>
      <c r="AF49" s="1"/>
      <c r="AG49" s="40">
        <v>711.51</v>
      </c>
      <c r="AH49" s="163">
        <f t="shared" si="17"/>
        <v>851.69785349999995</v>
      </c>
      <c r="AI49" s="1">
        <f t="shared" si="14"/>
        <v>5648.3021465000002</v>
      </c>
      <c r="AJ49" s="6">
        <f t="shared" si="38"/>
        <v>20.114000000000004</v>
      </c>
      <c r="AK49" s="14">
        <f t="shared" si="73"/>
        <v>192.29260255000011</v>
      </c>
      <c r="AL49" s="171">
        <f t="shared" si="30"/>
        <v>2.9583477315384632E-2</v>
      </c>
      <c r="AM49" s="35">
        <f t="shared" si="21"/>
        <v>5596.1973974499997</v>
      </c>
      <c r="AN49" s="1"/>
      <c r="AO49" s="40">
        <v>711.51</v>
      </c>
      <c r="AP49" s="41">
        <f t="shared" si="65"/>
        <v>1300</v>
      </c>
      <c r="AQ49" s="1">
        <f t="shared" si="43"/>
        <v>5200</v>
      </c>
      <c r="AR49" s="1">
        <f t="shared" si="66"/>
        <v>90</v>
      </c>
      <c r="AS49" s="171">
        <f t="shared" si="32"/>
        <v>1.3846153846153847E-2</v>
      </c>
      <c r="AT49" s="35">
        <f t="shared" si="67"/>
        <v>5698.49</v>
      </c>
      <c r="AU49" s="1"/>
      <c r="AV49" s="40">
        <v>711.51</v>
      </c>
      <c r="AW49" s="41">
        <f t="shared" si="68"/>
        <v>1300</v>
      </c>
      <c r="AX49" s="1">
        <f t="shared" si="69"/>
        <v>5200</v>
      </c>
      <c r="AY49" s="1">
        <f t="shared" si="70"/>
        <v>90</v>
      </c>
      <c r="AZ49" s="171">
        <f t="shared" si="71"/>
        <v>1.3846153846153847E-2</v>
      </c>
      <c r="BA49" s="35">
        <f t="shared" si="72"/>
        <v>5698.49</v>
      </c>
    </row>
    <row r="50" spans="8:54" ht="15" customHeight="1" x14ac:dyDescent="0.25">
      <c r="I50" s="5">
        <v>6600</v>
      </c>
      <c r="J50" s="1"/>
      <c r="K50" s="34">
        <v>733.59</v>
      </c>
      <c r="L50" s="44">
        <v>733.59</v>
      </c>
      <c r="M50" s="1">
        <f t="shared" si="45"/>
        <v>5866.41</v>
      </c>
      <c r="N50" s="1">
        <f t="shared" si="40"/>
        <v>717.2627500000001</v>
      </c>
      <c r="O50" s="43">
        <f t="shared" si="9"/>
        <v>0.10867617424242426</v>
      </c>
      <c r="P50" s="35">
        <f t="shared" si="10"/>
        <v>5149.14725</v>
      </c>
      <c r="Q50" s="1"/>
      <c r="R50" s="34">
        <v>733.59</v>
      </c>
      <c r="S50" s="44">
        <v>733.59</v>
      </c>
      <c r="T50" s="1">
        <f t="shared" si="46"/>
        <v>5866.41</v>
      </c>
      <c r="U50" s="14">
        <f t="shared" si="41"/>
        <v>704.53275000000008</v>
      </c>
      <c r="V50" s="43">
        <f t="shared" si="11"/>
        <v>0.10674738636363637</v>
      </c>
      <c r="W50" s="35">
        <f t="shared" si="12"/>
        <v>5161.8772499999995</v>
      </c>
      <c r="X50" s="1"/>
      <c r="Y50" s="264">
        <v>725.51</v>
      </c>
      <c r="Z50" s="266">
        <v>725.51</v>
      </c>
      <c r="AA50" s="252">
        <f t="shared" si="47"/>
        <v>5874.49</v>
      </c>
      <c r="AB50" s="259">
        <f t="shared" si="39"/>
        <v>99.862999999999943</v>
      </c>
      <c r="AC50" s="261">
        <f t="shared" si="42"/>
        <v>606.89175000000012</v>
      </c>
      <c r="AD50" s="262">
        <f t="shared" si="29"/>
        <v>9.1953295454545475E-2</v>
      </c>
      <c r="AE50" s="255">
        <f>$I50-Y50-AC50</f>
        <v>5267.59825</v>
      </c>
      <c r="AF50" s="1"/>
      <c r="AG50" s="40">
        <v>725.51</v>
      </c>
      <c r="AH50" s="163">
        <f t="shared" si="17"/>
        <v>851.69785349999995</v>
      </c>
      <c r="AI50" s="1">
        <f t="shared" si="14"/>
        <v>5748.3021465000002</v>
      </c>
      <c r="AJ50" s="6">
        <f t="shared" si="38"/>
        <v>17.747600000000006</v>
      </c>
      <c r="AK50" s="14">
        <f t="shared" si="73"/>
        <v>209.65900255000011</v>
      </c>
      <c r="AL50" s="171">
        <f t="shared" si="30"/>
        <v>3.1766515537878806E-2</v>
      </c>
      <c r="AM50" s="35">
        <f t="shared" si="21"/>
        <v>5664.8309974499998</v>
      </c>
      <c r="AN50" s="1"/>
      <c r="AO50" s="40">
        <v>725.51</v>
      </c>
      <c r="AP50" s="41">
        <f t="shared" si="65"/>
        <v>1320</v>
      </c>
      <c r="AQ50" s="1">
        <f t="shared" si="43"/>
        <v>5280</v>
      </c>
      <c r="AR50" s="1">
        <f t="shared" si="66"/>
        <v>96</v>
      </c>
      <c r="AS50" s="171">
        <f t="shared" si="32"/>
        <v>1.4545454545454545E-2</v>
      </c>
      <c r="AT50" s="35">
        <f t="shared" si="67"/>
        <v>5778.49</v>
      </c>
      <c r="AU50" s="1"/>
      <c r="AV50" s="40">
        <v>725.51</v>
      </c>
      <c r="AW50" s="41">
        <f t="shared" si="68"/>
        <v>1320</v>
      </c>
      <c r="AX50" s="1">
        <f t="shared" si="69"/>
        <v>5280</v>
      </c>
      <c r="AY50" s="1">
        <f t="shared" si="70"/>
        <v>96</v>
      </c>
      <c r="AZ50" s="171">
        <f t="shared" si="71"/>
        <v>1.4545454545454545E-2</v>
      </c>
      <c r="BA50" s="35">
        <f t="shared" si="72"/>
        <v>5778.49</v>
      </c>
    </row>
    <row r="51" spans="8:54" ht="15" customHeight="1" x14ac:dyDescent="0.25">
      <c r="I51" s="5">
        <v>6700</v>
      </c>
      <c r="J51" s="1"/>
      <c r="K51" s="34">
        <v>747.59</v>
      </c>
      <c r="L51" s="44">
        <v>747.59</v>
      </c>
      <c r="M51" s="1">
        <f t="shared" si="45"/>
        <v>5952.41</v>
      </c>
      <c r="N51" s="1">
        <f t="shared" si="40"/>
        <v>740.91275000000019</v>
      </c>
      <c r="O51" s="43">
        <f t="shared" si="9"/>
        <v>0.11058399253731346</v>
      </c>
      <c r="P51" s="35">
        <f t="shared" si="10"/>
        <v>5211.4972499999994</v>
      </c>
      <c r="Q51" s="1"/>
      <c r="R51" s="34">
        <v>747.59</v>
      </c>
      <c r="S51" s="44">
        <v>747.59</v>
      </c>
      <c r="T51" s="1">
        <f t="shared" si="46"/>
        <v>5952.41</v>
      </c>
      <c r="U51" s="14">
        <f t="shared" si="41"/>
        <v>728.18275000000017</v>
      </c>
      <c r="V51" s="43">
        <f t="shared" si="11"/>
        <v>0.10868399253731346</v>
      </c>
      <c r="W51" s="35">
        <f t="shared" si="12"/>
        <v>5224.2272499999999</v>
      </c>
      <c r="X51" s="1"/>
      <c r="Y51" s="264">
        <v>739.51</v>
      </c>
      <c r="Z51" s="266">
        <v>739.51</v>
      </c>
      <c r="AA51" s="252">
        <f t="shared" si="47"/>
        <v>5960.49</v>
      </c>
      <c r="AB51" s="259">
        <f t="shared" si="39"/>
        <v>86.548499999999876</v>
      </c>
      <c r="AC51" s="261">
        <f t="shared" si="42"/>
        <v>643.85625000000027</v>
      </c>
      <c r="AD51" s="262">
        <f t="shared" si="29"/>
        <v>9.6097947761194069E-2</v>
      </c>
      <c r="AE51" s="255">
        <f t="shared" si="20"/>
        <v>5316.6337499999991</v>
      </c>
      <c r="AF51" s="1"/>
      <c r="AG51" s="40">
        <v>739.51</v>
      </c>
      <c r="AH51" s="163">
        <f t="shared" si="17"/>
        <v>851.69785349999995</v>
      </c>
      <c r="AI51" s="1">
        <f t="shared" si="14"/>
        <v>5848.3021465000002</v>
      </c>
      <c r="AJ51" s="6">
        <f t="shared" si="38"/>
        <v>15.381200000000007</v>
      </c>
      <c r="AK51" s="14">
        <f t="shared" si="73"/>
        <v>227.02540255000011</v>
      </c>
      <c r="AL51" s="171">
        <f t="shared" si="30"/>
        <v>3.3884388440298521E-2</v>
      </c>
      <c r="AM51" s="35">
        <f t="shared" si="21"/>
        <v>5733.4645974499999</v>
      </c>
      <c r="AN51" s="1"/>
      <c r="AO51" s="40">
        <v>739.51</v>
      </c>
      <c r="AP51" s="44">
        <f t="shared" si="65"/>
        <v>1340</v>
      </c>
      <c r="AQ51" s="1">
        <f t="shared" si="43"/>
        <v>5360</v>
      </c>
      <c r="AR51" s="1">
        <f t="shared" si="66"/>
        <v>102</v>
      </c>
      <c r="AS51" s="171">
        <f t="shared" si="32"/>
        <v>1.5223880597014926E-2</v>
      </c>
      <c r="AT51" s="35">
        <f t="shared" si="67"/>
        <v>5858.49</v>
      </c>
      <c r="AU51" s="1"/>
      <c r="AV51" s="40">
        <v>739.51</v>
      </c>
      <c r="AW51" s="41">
        <f t="shared" si="68"/>
        <v>1340</v>
      </c>
      <c r="AX51" s="1">
        <f t="shared" si="69"/>
        <v>5360</v>
      </c>
      <c r="AY51" s="1">
        <f t="shared" si="70"/>
        <v>102</v>
      </c>
      <c r="AZ51" s="171">
        <f t="shared" si="71"/>
        <v>1.5223880597014926E-2</v>
      </c>
      <c r="BA51" s="35">
        <f t="shared" si="72"/>
        <v>5858.49</v>
      </c>
    </row>
    <row r="52" spans="8:54" ht="15" customHeight="1" x14ac:dyDescent="0.25">
      <c r="I52" s="5">
        <v>6800</v>
      </c>
      <c r="J52" s="1"/>
      <c r="K52" s="34">
        <v>761.59</v>
      </c>
      <c r="L52" s="44">
        <v>761.59</v>
      </c>
      <c r="M52" s="1">
        <f t="shared" si="45"/>
        <v>6038.41</v>
      </c>
      <c r="N52" s="1">
        <f t="shared" si="40"/>
        <v>764.56275000000005</v>
      </c>
      <c r="O52" s="43">
        <f t="shared" si="9"/>
        <v>0.11243569852941178</v>
      </c>
      <c r="P52" s="35">
        <f t="shared" si="10"/>
        <v>5273.8472499999998</v>
      </c>
      <c r="Q52" s="1"/>
      <c r="R52" s="34">
        <v>761.59</v>
      </c>
      <c r="S52" s="44">
        <v>761.59</v>
      </c>
      <c r="T52" s="1">
        <f t="shared" si="46"/>
        <v>6038.41</v>
      </c>
      <c r="U52" s="14">
        <f t="shared" si="41"/>
        <v>751.83275000000003</v>
      </c>
      <c r="V52" s="43">
        <f t="shared" si="11"/>
        <v>0.11056363970588236</v>
      </c>
      <c r="W52" s="35">
        <f t="shared" si="12"/>
        <v>5286.5772500000003</v>
      </c>
      <c r="X52" s="1"/>
      <c r="Y52" s="264">
        <v>753.51</v>
      </c>
      <c r="Z52" s="266">
        <v>753.51</v>
      </c>
      <c r="AA52" s="252">
        <f t="shared" si="47"/>
        <v>6046.49</v>
      </c>
      <c r="AB52" s="259">
        <f t="shared" si="39"/>
        <v>73.233999999999924</v>
      </c>
      <c r="AC52" s="261">
        <f t="shared" si="42"/>
        <v>680.82075000000009</v>
      </c>
      <c r="AD52" s="262">
        <f t="shared" si="29"/>
        <v>0.10012069852941177</v>
      </c>
      <c r="AE52" s="255">
        <f t="shared" si="20"/>
        <v>5365.6692499999999</v>
      </c>
      <c r="AF52" s="1"/>
      <c r="AG52" s="40">
        <v>753.51</v>
      </c>
      <c r="AH52" s="163">
        <f t="shared" si="17"/>
        <v>851.69785349999995</v>
      </c>
      <c r="AI52" s="1">
        <f t="shared" si="14"/>
        <v>5948.3021465000002</v>
      </c>
      <c r="AJ52" s="6">
        <f t="shared" si="38"/>
        <v>13.014800000000008</v>
      </c>
      <c r="AK52" s="14">
        <f t="shared" si="73"/>
        <v>244.39180255000011</v>
      </c>
      <c r="AL52" s="171">
        <f t="shared" si="30"/>
        <v>3.5939970963235313E-2</v>
      </c>
      <c r="AM52" s="35">
        <f t="shared" si="21"/>
        <v>5802.09819745</v>
      </c>
      <c r="AN52" s="1"/>
      <c r="AO52" s="40">
        <v>753.51</v>
      </c>
      <c r="AP52" s="44">
        <f t="shared" si="65"/>
        <v>1360</v>
      </c>
      <c r="AQ52" s="1">
        <f t="shared" si="43"/>
        <v>5440</v>
      </c>
      <c r="AR52" s="1">
        <f t="shared" si="66"/>
        <v>108</v>
      </c>
      <c r="AS52" s="171">
        <f t="shared" si="32"/>
        <v>1.5882352941176469E-2</v>
      </c>
      <c r="AT52" s="35">
        <f t="shared" si="67"/>
        <v>5938.49</v>
      </c>
      <c r="AU52" s="1"/>
      <c r="AV52" s="40">
        <v>753.51</v>
      </c>
      <c r="AW52" s="41">
        <f t="shared" si="68"/>
        <v>1360</v>
      </c>
      <c r="AX52" s="1">
        <f t="shared" si="69"/>
        <v>5440</v>
      </c>
      <c r="AY52" s="1">
        <f t="shared" si="70"/>
        <v>108</v>
      </c>
      <c r="AZ52" s="171">
        <f t="shared" si="71"/>
        <v>1.5882352941176469E-2</v>
      </c>
      <c r="BA52" s="35">
        <f t="shared" si="72"/>
        <v>5938.49</v>
      </c>
    </row>
    <row r="53" spans="8:54" ht="15" customHeight="1" x14ac:dyDescent="0.25">
      <c r="I53" s="5">
        <v>6900</v>
      </c>
      <c r="J53" s="1"/>
      <c r="K53" s="34">
        <v>775.59</v>
      </c>
      <c r="L53" s="44">
        <v>775.59</v>
      </c>
      <c r="M53" s="1">
        <f t="shared" si="45"/>
        <v>6124.41</v>
      </c>
      <c r="N53" s="1">
        <f t="shared" si="40"/>
        <v>788.21275000000014</v>
      </c>
      <c r="O53" s="43">
        <f t="shared" si="9"/>
        <v>0.114233731884058</v>
      </c>
      <c r="P53" s="35">
        <f t="shared" si="10"/>
        <v>5336.1972499999993</v>
      </c>
      <c r="Q53" s="1"/>
      <c r="R53" s="34">
        <v>775.59</v>
      </c>
      <c r="S53" s="44">
        <v>775.59</v>
      </c>
      <c r="T53" s="1">
        <f t="shared" si="46"/>
        <v>6124.41</v>
      </c>
      <c r="U53" s="14">
        <f t="shared" si="41"/>
        <v>775.48275000000012</v>
      </c>
      <c r="V53" s="43">
        <f t="shared" si="11"/>
        <v>0.11238880434782611</v>
      </c>
      <c r="W53" s="35">
        <f t="shared" si="12"/>
        <v>5348.9272499999997</v>
      </c>
      <c r="X53" s="1"/>
      <c r="Y53" s="264">
        <v>767.51</v>
      </c>
      <c r="Z53" s="266">
        <v>775.59</v>
      </c>
      <c r="AA53" s="252">
        <f t="shared" si="47"/>
        <v>6124.41</v>
      </c>
      <c r="AB53" s="259">
        <f t="shared" si="39"/>
        <v>59.919499999999857</v>
      </c>
      <c r="AC53" s="261">
        <f t="shared" si="42"/>
        <v>715.56325000000027</v>
      </c>
      <c r="AD53" s="262">
        <f t="shared" si="29"/>
        <v>0.10370481884057975</v>
      </c>
      <c r="AE53" s="255">
        <f t="shared" si="20"/>
        <v>5416.9267499999996</v>
      </c>
      <c r="AF53" s="1"/>
      <c r="AG53" s="40">
        <v>767.51</v>
      </c>
      <c r="AH53" s="163">
        <f t="shared" si="17"/>
        <v>851.69785349999995</v>
      </c>
      <c r="AI53" s="1">
        <f t="shared" si="14"/>
        <v>6048.3021465000002</v>
      </c>
      <c r="AJ53" s="6">
        <f t="shared" si="38"/>
        <v>10.648400000000009</v>
      </c>
      <c r="AK53" s="14">
        <f t="shared" si="73"/>
        <v>261.75820255000008</v>
      </c>
      <c r="AL53" s="171">
        <f t="shared" si="30"/>
        <v>3.7935971384057986E-2</v>
      </c>
      <c r="AM53" s="35">
        <f t="shared" si="21"/>
        <v>5870.7317974500002</v>
      </c>
      <c r="AN53" s="1"/>
      <c r="AO53" s="40">
        <v>767.51</v>
      </c>
      <c r="AP53" s="44">
        <f t="shared" si="65"/>
        <v>1380</v>
      </c>
      <c r="AQ53" s="1">
        <f t="shared" si="43"/>
        <v>5520</v>
      </c>
      <c r="AR53" s="1">
        <f t="shared" si="66"/>
        <v>114</v>
      </c>
      <c r="AS53" s="171">
        <f t="shared" si="32"/>
        <v>1.6521739130434782E-2</v>
      </c>
      <c r="AT53" s="35">
        <f t="shared" si="67"/>
        <v>6018.49</v>
      </c>
      <c r="AU53" s="1"/>
      <c r="AV53" s="40">
        <v>767.51</v>
      </c>
      <c r="AW53" s="41">
        <f t="shared" si="68"/>
        <v>1380</v>
      </c>
      <c r="AX53" s="1">
        <f t="shared" si="69"/>
        <v>5520</v>
      </c>
      <c r="AY53" s="1">
        <f t="shared" si="70"/>
        <v>114</v>
      </c>
      <c r="AZ53" s="171">
        <f t="shared" si="71"/>
        <v>1.6521739130434782E-2</v>
      </c>
      <c r="BA53" s="35">
        <f t="shared" si="72"/>
        <v>6018.49</v>
      </c>
    </row>
    <row r="54" spans="8:54" ht="15" customHeight="1" x14ac:dyDescent="0.25">
      <c r="I54" s="5">
        <v>7000</v>
      </c>
      <c r="J54" s="1"/>
      <c r="K54" s="34">
        <v>789.59</v>
      </c>
      <c r="L54" s="44">
        <v>789.59</v>
      </c>
      <c r="M54" s="1">
        <f t="shared" si="45"/>
        <v>6210.41</v>
      </c>
      <c r="N54" s="1">
        <f t="shared" si="40"/>
        <v>811.86275000000001</v>
      </c>
      <c r="O54" s="43">
        <f t="shared" si="9"/>
        <v>0.11598039285714286</v>
      </c>
      <c r="P54" s="35">
        <f t="shared" si="10"/>
        <v>5398.5472499999996</v>
      </c>
      <c r="Q54" s="1"/>
      <c r="R54" s="34">
        <v>789.59</v>
      </c>
      <c r="S54" s="44">
        <v>789.59</v>
      </c>
      <c r="T54" s="1">
        <f t="shared" si="46"/>
        <v>6210.41</v>
      </c>
      <c r="U54" s="14">
        <f>T54*$E$22-$F$22</f>
        <v>799.13274999999999</v>
      </c>
      <c r="V54" s="43">
        <f t="shared" si="11"/>
        <v>0.11416182142857143</v>
      </c>
      <c r="W54" s="35">
        <f t="shared" si="12"/>
        <v>5411.2772500000001</v>
      </c>
      <c r="X54" s="1"/>
      <c r="Y54" s="264">
        <v>781.51</v>
      </c>
      <c r="Z54" s="266">
        <v>781.51</v>
      </c>
      <c r="AA54" s="252">
        <f t="shared" si="47"/>
        <v>6218.49</v>
      </c>
      <c r="AB54" s="259">
        <f t="shared" si="39"/>
        <v>46.604999999999905</v>
      </c>
      <c r="AC54" s="261">
        <f t="shared" si="42"/>
        <v>754.74975000000006</v>
      </c>
      <c r="AD54" s="262">
        <f t="shared" si="29"/>
        <v>0.10782139285714287</v>
      </c>
      <c r="AE54" s="255">
        <f t="shared" si="20"/>
        <v>5463.7402499999998</v>
      </c>
      <c r="AF54" s="1"/>
      <c r="AG54" s="40">
        <v>781.51</v>
      </c>
      <c r="AH54" s="163">
        <f t="shared" si="17"/>
        <v>851.69785349999995</v>
      </c>
      <c r="AI54" s="1">
        <f t="shared" si="14"/>
        <v>6148.3021465000002</v>
      </c>
      <c r="AJ54" s="6">
        <f t="shared" si="38"/>
        <v>8.2820000000000107</v>
      </c>
      <c r="AK54" s="14">
        <f t="shared" si="73"/>
        <v>279.12460255000008</v>
      </c>
      <c r="AL54" s="171">
        <f t="shared" si="30"/>
        <v>3.987494322142858E-2</v>
      </c>
      <c r="AM54" s="35">
        <f t="shared" si="21"/>
        <v>5939.3653974499994</v>
      </c>
      <c r="AN54" s="1"/>
      <c r="AO54" s="40">
        <v>781.51</v>
      </c>
      <c r="AP54" s="44">
        <f t="shared" si="65"/>
        <v>1400</v>
      </c>
      <c r="AQ54" s="1">
        <f t="shared" si="43"/>
        <v>5600</v>
      </c>
      <c r="AR54" s="1">
        <f t="shared" si="66"/>
        <v>120</v>
      </c>
      <c r="AS54" s="171">
        <f t="shared" si="32"/>
        <v>1.7142857142857144E-2</v>
      </c>
      <c r="AT54" s="35">
        <f t="shared" si="67"/>
        <v>6098.49</v>
      </c>
      <c r="AU54" s="1"/>
      <c r="AV54" s="40">
        <v>781.51</v>
      </c>
      <c r="AW54" s="41">
        <f t="shared" si="68"/>
        <v>1400</v>
      </c>
      <c r="AX54" s="1">
        <f t="shared" si="69"/>
        <v>5600</v>
      </c>
      <c r="AY54" s="1">
        <f t="shared" si="70"/>
        <v>120</v>
      </c>
      <c r="AZ54" s="171">
        <f t="shared" si="71"/>
        <v>1.7142857142857144E-2</v>
      </c>
      <c r="BA54" s="35">
        <f t="shared" si="72"/>
        <v>6098.49</v>
      </c>
    </row>
    <row r="55" spans="8:54" ht="15" customHeight="1" x14ac:dyDescent="0.25">
      <c r="I55" s="5">
        <v>7100</v>
      </c>
      <c r="J55" s="1"/>
      <c r="K55" s="34">
        <v>803.59</v>
      </c>
      <c r="L55" s="44">
        <v>803.59</v>
      </c>
      <c r="M55" s="1">
        <f t="shared" si="45"/>
        <v>6296.41</v>
      </c>
      <c r="N55" s="1">
        <f t="shared" si="40"/>
        <v>835.5127500000001</v>
      </c>
      <c r="O55" s="43">
        <f t="shared" si="9"/>
        <v>0.11767785211267608</v>
      </c>
      <c r="P55" s="35">
        <f t="shared" si="10"/>
        <v>5460.89725</v>
      </c>
      <c r="Q55" s="1"/>
      <c r="R55" s="34">
        <v>803.59</v>
      </c>
      <c r="S55" s="44">
        <v>803.59</v>
      </c>
      <c r="T55" s="1">
        <f t="shared" si="46"/>
        <v>6296.41</v>
      </c>
      <c r="U55" s="14">
        <f t="shared" ref="U55:U58" si="77">T55*$E$22-$F$22</f>
        <v>822.78275000000008</v>
      </c>
      <c r="V55" s="43">
        <f t="shared" si="11"/>
        <v>0.1158848943661972</v>
      </c>
      <c r="W55" s="35">
        <f t="shared" si="12"/>
        <v>5473.6272499999995</v>
      </c>
      <c r="X55" s="1"/>
      <c r="Y55" s="264">
        <v>795.51</v>
      </c>
      <c r="Z55" s="266">
        <v>795.51</v>
      </c>
      <c r="AA55" s="252">
        <f t="shared" si="47"/>
        <v>6304.49</v>
      </c>
      <c r="AB55" s="259">
        <f t="shared" si="39"/>
        <v>33.290499999999952</v>
      </c>
      <c r="AC55" s="261">
        <f t="shared" si="42"/>
        <v>791.71425000000011</v>
      </c>
      <c r="AD55" s="262">
        <f t="shared" si="29"/>
        <v>0.11150904929577467</v>
      </c>
      <c r="AE55" s="255">
        <f t="shared" si="20"/>
        <v>5512.7757499999998</v>
      </c>
      <c r="AF55" s="1"/>
      <c r="AG55" s="40">
        <v>795.51</v>
      </c>
      <c r="AH55" s="163">
        <f t="shared" si="17"/>
        <v>851.69785349999995</v>
      </c>
      <c r="AI55" s="1">
        <f t="shared" si="14"/>
        <v>6248.3021465000002</v>
      </c>
      <c r="AJ55" s="6">
        <f t="shared" si="38"/>
        <v>5.915600000000012</v>
      </c>
      <c r="AK55" s="14">
        <f t="shared" si="73"/>
        <v>296.49100255000008</v>
      </c>
      <c r="AL55" s="171">
        <f t="shared" ref="AL55:AL58" si="78">AK55/$I55</f>
        <v>4.1759296133802824E-2</v>
      </c>
      <c r="AM55" s="35">
        <f t="shared" si="21"/>
        <v>6007.9989974499995</v>
      </c>
      <c r="AN55" s="1"/>
      <c r="AO55" s="40">
        <v>795.51</v>
      </c>
      <c r="AP55" s="44">
        <f t="shared" si="65"/>
        <v>1420</v>
      </c>
      <c r="AQ55" s="1">
        <f t="shared" si="43"/>
        <v>5680</v>
      </c>
      <c r="AR55" s="1">
        <f t="shared" si="66"/>
        <v>126</v>
      </c>
      <c r="AS55" s="171">
        <f t="shared" si="32"/>
        <v>1.7746478873239435E-2</v>
      </c>
      <c r="AT55" s="35">
        <f t="shared" si="67"/>
        <v>6178.49</v>
      </c>
      <c r="AU55" s="1"/>
      <c r="AV55" s="40">
        <v>795.51</v>
      </c>
      <c r="AW55" s="41">
        <f t="shared" si="68"/>
        <v>1420</v>
      </c>
      <c r="AX55" s="1">
        <f t="shared" si="69"/>
        <v>5680</v>
      </c>
      <c r="AY55" s="1">
        <f t="shared" si="70"/>
        <v>126</v>
      </c>
      <c r="AZ55" s="171">
        <f t="shared" si="71"/>
        <v>1.7746478873239435E-2</v>
      </c>
      <c r="BA55" s="35">
        <f t="shared" si="72"/>
        <v>6178.49</v>
      </c>
    </row>
    <row r="56" spans="8:54" ht="15" customHeight="1" x14ac:dyDescent="0.25">
      <c r="I56" s="5">
        <v>7200</v>
      </c>
      <c r="J56" s="1"/>
      <c r="K56" s="34">
        <v>817.59</v>
      </c>
      <c r="L56" s="44">
        <v>817.59</v>
      </c>
      <c r="M56" s="1">
        <f t="shared" si="45"/>
        <v>6382.41</v>
      </c>
      <c r="N56" s="1">
        <f t="shared" si="40"/>
        <v>859.16275000000019</v>
      </c>
      <c r="O56" s="43">
        <f t="shared" si="9"/>
        <v>0.11932815972222224</v>
      </c>
      <c r="P56" s="35">
        <f t="shared" si="10"/>
        <v>5523.2472499999994</v>
      </c>
      <c r="Q56" s="1"/>
      <c r="R56" s="34">
        <v>817.59</v>
      </c>
      <c r="S56" s="44">
        <v>817.59</v>
      </c>
      <c r="T56" s="1">
        <f t="shared" si="46"/>
        <v>6382.41</v>
      </c>
      <c r="U56" s="14">
        <f t="shared" si="77"/>
        <v>846.43275000000017</v>
      </c>
      <c r="V56" s="43">
        <f t="shared" si="11"/>
        <v>0.11756010416666669</v>
      </c>
      <c r="W56" s="35">
        <f t="shared" si="12"/>
        <v>5535.9772499999999</v>
      </c>
      <c r="X56" s="1"/>
      <c r="Y56" s="264">
        <v>809.51</v>
      </c>
      <c r="Z56" s="266">
        <v>809.51</v>
      </c>
      <c r="AA56" s="252">
        <f t="shared" si="47"/>
        <v>6390.49</v>
      </c>
      <c r="AB56" s="259">
        <f t="shared" si="39"/>
        <v>19.975999999999885</v>
      </c>
      <c r="AC56" s="261">
        <f t="shared" si="42"/>
        <v>828.67875000000026</v>
      </c>
      <c r="AD56" s="262">
        <f t="shared" si="29"/>
        <v>0.11509427083333337</v>
      </c>
      <c r="AE56" s="255">
        <f t="shared" si="20"/>
        <v>5561.8112499999997</v>
      </c>
      <c r="AF56" s="1"/>
      <c r="AG56" s="40">
        <v>809.51</v>
      </c>
      <c r="AH56" s="163">
        <f t="shared" si="17"/>
        <v>851.69785349999995</v>
      </c>
      <c r="AI56" s="1">
        <f t="shared" si="14"/>
        <v>6348.3021465000002</v>
      </c>
      <c r="AJ56" s="6">
        <f t="shared" si="38"/>
        <v>3.5492000000000132</v>
      </c>
      <c r="AK56" s="14">
        <f t="shared" si="73"/>
        <v>313.85740255000007</v>
      </c>
      <c r="AL56" s="171">
        <f t="shared" si="78"/>
        <v>4.3591305909722232E-2</v>
      </c>
      <c r="AM56" s="35">
        <f t="shared" si="21"/>
        <v>6076.6325974499996</v>
      </c>
      <c r="AN56" s="1"/>
      <c r="AO56" s="40">
        <v>809.51</v>
      </c>
      <c r="AP56" s="44">
        <f t="shared" si="65"/>
        <v>1440</v>
      </c>
      <c r="AQ56" s="1">
        <f t="shared" si="43"/>
        <v>5760</v>
      </c>
      <c r="AR56" s="1">
        <f t="shared" si="66"/>
        <v>132</v>
      </c>
      <c r="AS56" s="171">
        <f t="shared" si="32"/>
        <v>1.8333333333333333E-2</v>
      </c>
      <c r="AT56" s="35">
        <f t="shared" si="67"/>
        <v>6258.49</v>
      </c>
      <c r="AU56" s="1"/>
      <c r="AV56" s="40">
        <v>809.51</v>
      </c>
      <c r="AW56" s="41">
        <f t="shared" si="68"/>
        <v>1440</v>
      </c>
      <c r="AX56" s="1">
        <f t="shared" si="69"/>
        <v>5760</v>
      </c>
      <c r="AY56" s="1">
        <f t="shared" si="70"/>
        <v>132</v>
      </c>
      <c r="AZ56" s="171">
        <f t="shared" si="71"/>
        <v>1.8333333333333333E-2</v>
      </c>
      <c r="BA56" s="35">
        <f t="shared" si="72"/>
        <v>6258.49</v>
      </c>
    </row>
    <row r="57" spans="8:54" ht="15" customHeight="1" x14ac:dyDescent="0.25">
      <c r="I57" s="5">
        <v>7300</v>
      </c>
      <c r="J57" s="1"/>
      <c r="K57" s="34">
        <v>831.59</v>
      </c>
      <c r="L57" s="44">
        <v>831.59</v>
      </c>
      <c r="M57" s="1">
        <f t="shared" si="45"/>
        <v>6468.41</v>
      </c>
      <c r="N57" s="1">
        <f t="shared" si="40"/>
        <v>882.81275000000005</v>
      </c>
      <c r="O57" s="43">
        <f t="shared" si="9"/>
        <v>0.12093325342465754</v>
      </c>
      <c r="P57" s="35">
        <f t="shared" si="10"/>
        <v>5585.5972499999998</v>
      </c>
      <c r="Q57" s="1"/>
      <c r="R57" s="34">
        <v>831.59</v>
      </c>
      <c r="S57" s="44">
        <v>831.59</v>
      </c>
      <c r="T57" s="1">
        <f t="shared" si="46"/>
        <v>6468.41</v>
      </c>
      <c r="U57" s="14">
        <f t="shared" si="77"/>
        <v>870.08275000000003</v>
      </c>
      <c r="V57" s="43">
        <f t="shared" si="11"/>
        <v>0.11918941780821918</v>
      </c>
      <c r="W57" s="35">
        <f t="shared" si="12"/>
        <v>5598.3272500000003</v>
      </c>
      <c r="X57" s="1"/>
      <c r="Y57" s="264">
        <v>823.51</v>
      </c>
      <c r="Z57" s="266">
        <v>823.51</v>
      </c>
      <c r="AA57" s="252">
        <f t="shared" si="47"/>
        <v>6476.49</v>
      </c>
      <c r="AB57" s="259">
        <f t="shared" si="39"/>
        <v>6.6614999999999327</v>
      </c>
      <c r="AC57" s="261">
        <f t="shared" si="42"/>
        <v>865.64325000000008</v>
      </c>
      <c r="AD57" s="262">
        <f t="shared" si="29"/>
        <v>0.11858126712328768</v>
      </c>
      <c r="AE57" s="255">
        <f t="shared" si="20"/>
        <v>5610.8467499999997</v>
      </c>
      <c r="AF57" s="1"/>
      <c r="AG57" s="40">
        <v>823.51</v>
      </c>
      <c r="AH57" s="163">
        <f t="shared" si="17"/>
        <v>851.69785349999995</v>
      </c>
      <c r="AI57" s="1">
        <f t="shared" si="14"/>
        <v>6448.3021465000002</v>
      </c>
      <c r="AJ57" s="6">
        <f t="shared" si="38"/>
        <v>1.1827999999999861</v>
      </c>
      <c r="AK57" s="14">
        <f>AI57*$BF$8-$BG$8-AJ57</f>
        <v>331.22380255000013</v>
      </c>
      <c r="AL57" s="171">
        <f t="shared" si="78"/>
        <v>4.5373123636986319E-2</v>
      </c>
      <c r="AM57" s="35">
        <f t="shared" si="21"/>
        <v>6145.2661974499997</v>
      </c>
      <c r="AN57" s="1"/>
      <c r="AO57" s="40">
        <v>823.51</v>
      </c>
      <c r="AP57" s="44">
        <f t="shared" si="65"/>
        <v>1460</v>
      </c>
      <c r="AQ57" s="1">
        <f t="shared" si="43"/>
        <v>5840</v>
      </c>
      <c r="AR57" s="1">
        <f t="shared" si="66"/>
        <v>138</v>
      </c>
      <c r="AS57" s="171">
        <f t="shared" si="32"/>
        <v>1.8904109589041096E-2</v>
      </c>
      <c r="AT57" s="35">
        <f t="shared" si="67"/>
        <v>6338.49</v>
      </c>
      <c r="AU57" s="1"/>
      <c r="AV57" s="40">
        <v>823.51</v>
      </c>
      <c r="AW57" s="41">
        <f t="shared" si="68"/>
        <v>1460</v>
      </c>
      <c r="AX57" s="1">
        <f t="shared" si="69"/>
        <v>5840</v>
      </c>
      <c r="AY57" s="1">
        <f t="shared" si="70"/>
        <v>138</v>
      </c>
      <c r="AZ57" s="171">
        <f t="shared" si="71"/>
        <v>1.8904109589041096E-2</v>
      </c>
      <c r="BA57" s="35">
        <f t="shared" si="72"/>
        <v>6338.49</v>
      </c>
      <c r="BB57" s="1"/>
    </row>
    <row r="58" spans="8:54" ht="15" customHeight="1" thickBot="1" x14ac:dyDescent="0.3">
      <c r="I58" s="5">
        <v>7350</v>
      </c>
      <c r="J58" s="1"/>
      <c r="K58" s="34">
        <v>838.59</v>
      </c>
      <c r="L58" s="44">
        <v>838.59</v>
      </c>
      <c r="M58" s="1">
        <f t="shared" si="45"/>
        <v>6511.41</v>
      </c>
      <c r="N58" s="1">
        <f t="shared" si="40"/>
        <v>894.6377500000001</v>
      </c>
      <c r="O58" s="43">
        <f t="shared" si="9"/>
        <v>0.12171942176870749</v>
      </c>
      <c r="P58" s="35">
        <f t="shared" si="10"/>
        <v>5616.77225</v>
      </c>
      <c r="Q58" s="1"/>
      <c r="R58" s="34">
        <v>838.59</v>
      </c>
      <c r="S58" s="44">
        <v>838.59</v>
      </c>
      <c r="T58" s="1">
        <f t="shared" si="46"/>
        <v>6511.41</v>
      </c>
      <c r="U58" s="15">
        <f t="shared" si="77"/>
        <v>881.90775000000008</v>
      </c>
      <c r="V58" s="43">
        <f t="shared" si="11"/>
        <v>0.11998744897959185</v>
      </c>
      <c r="W58" s="35">
        <f t="shared" si="12"/>
        <v>5629.5022499999995</v>
      </c>
      <c r="X58" s="1"/>
      <c r="Y58" s="264">
        <v>830.51</v>
      </c>
      <c r="Z58" s="266">
        <v>830.51</v>
      </c>
      <c r="AA58" s="252">
        <f t="shared" si="47"/>
        <v>6519.49</v>
      </c>
      <c r="AB58" s="259">
        <f t="shared" si="39"/>
        <v>4.2499999999563443E-3</v>
      </c>
      <c r="AC58" s="267">
        <f>AA58*$E$22-$F$22</f>
        <v>884.12975000000006</v>
      </c>
      <c r="AD58" s="262">
        <f t="shared" si="29"/>
        <v>0.12028976190476191</v>
      </c>
      <c r="AE58" s="255">
        <f t="shared" si="20"/>
        <v>5635.3602499999997</v>
      </c>
      <c r="AF58" s="1"/>
      <c r="AG58" s="40">
        <v>830.51</v>
      </c>
      <c r="AH58" s="163">
        <f t="shared" si="17"/>
        <v>851.69785349999995</v>
      </c>
      <c r="AI58" s="1">
        <f t="shared" si="14"/>
        <v>6498.3021465000002</v>
      </c>
      <c r="AJ58" s="6">
        <f>173.93-(0.023664*$I58)</f>
        <v>-4.0000000001327862E-4</v>
      </c>
      <c r="AK58" s="15">
        <f>AI58*$BF$8-$BG$8-AJ58</f>
        <v>339.90700255000013</v>
      </c>
      <c r="AL58" s="171">
        <f t="shared" si="78"/>
        <v>4.6245850687074846E-2</v>
      </c>
      <c r="AM58" s="35">
        <f t="shared" si="21"/>
        <v>6179.5829974499993</v>
      </c>
      <c r="AN58" s="1"/>
      <c r="AO58" s="40">
        <v>830.51</v>
      </c>
      <c r="AP58" s="44">
        <f t="shared" si="65"/>
        <v>1470</v>
      </c>
      <c r="AQ58" s="1">
        <f t="shared" si="43"/>
        <v>5880</v>
      </c>
      <c r="AR58" s="1">
        <f t="shared" si="66"/>
        <v>141</v>
      </c>
      <c r="AS58" s="171">
        <f t="shared" si="32"/>
        <v>1.9183673469387756E-2</v>
      </c>
      <c r="AT58" s="35">
        <f t="shared" si="67"/>
        <v>6378.49</v>
      </c>
      <c r="AU58" s="1"/>
      <c r="AV58" s="40">
        <v>830.51</v>
      </c>
      <c r="AW58" s="41">
        <f t="shared" si="68"/>
        <v>1470</v>
      </c>
      <c r="AX58" s="1">
        <f t="shared" si="69"/>
        <v>5880</v>
      </c>
      <c r="AY58" s="1">
        <f t="shared" si="70"/>
        <v>141</v>
      </c>
      <c r="AZ58" s="171">
        <f t="shared" si="71"/>
        <v>1.9183673469387756E-2</v>
      </c>
      <c r="BA58" s="35">
        <f t="shared" si="72"/>
        <v>6378.49</v>
      </c>
      <c r="BB58" s="1"/>
    </row>
    <row r="59" spans="8:54" ht="15" customHeight="1" x14ac:dyDescent="0.25">
      <c r="H59" s="11"/>
      <c r="I59" s="3">
        <v>7500</v>
      </c>
      <c r="J59" s="1"/>
      <c r="K59" s="34">
        <v>859.59</v>
      </c>
      <c r="L59" s="44">
        <v>859.59</v>
      </c>
      <c r="M59" s="1">
        <f t="shared" si="45"/>
        <v>6640.41</v>
      </c>
      <c r="N59" s="1">
        <f t="shared" si="40"/>
        <v>930.11275000000001</v>
      </c>
      <c r="O59" s="43">
        <f t="shared" si="9"/>
        <v>0.12401503333333333</v>
      </c>
      <c r="P59" s="35">
        <f t="shared" si="10"/>
        <v>5710.2972499999996</v>
      </c>
      <c r="Q59" s="1"/>
      <c r="R59" s="34">
        <v>859.59</v>
      </c>
      <c r="S59" s="44">
        <v>859.59</v>
      </c>
      <c r="T59" s="1">
        <f t="shared" si="46"/>
        <v>6640.41</v>
      </c>
      <c r="U59" s="1">
        <f t="shared" si="41"/>
        <v>917.38274999999999</v>
      </c>
      <c r="V59" s="43">
        <f t="shared" si="11"/>
        <v>0.1223177</v>
      </c>
      <c r="W59" s="35">
        <f t="shared" si="12"/>
        <v>5723.0272500000001</v>
      </c>
      <c r="X59" s="1"/>
      <c r="Y59" s="264">
        <v>851.51</v>
      </c>
      <c r="Z59" s="266">
        <v>851.51</v>
      </c>
      <c r="AA59" s="252">
        <f t="shared" si="47"/>
        <v>6648.49</v>
      </c>
      <c r="AB59" s="268"/>
      <c r="AC59" s="252">
        <f t="shared" ref="AC59:AC102" si="79">AA59*$E$22-$F$22</f>
        <v>919.60474999999997</v>
      </c>
      <c r="AD59" s="262">
        <f t="shared" si="29"/>
        <v>0.12261396666666666</v>
      </c>
      <c r="AE59" s="255">
        <f t="shared" si="20"/>
        <v>5728.8852499999994</v>
      </c>
      <c r="AF59" s="1"/>
      <c r="AG59" s="40">
        <v>851.51</v>
      </c>
      <c r="AH59" s="163">
        <f t="shared" si="17"/>
        <v>851.69785349999995</v>
      </c>
      <c r="AI59" s="1">
        <f t="shared" si="14"/>
        <v>6648.3021465000002</v>
      </c>
      <c r="AJ59" s="1"/>
      <c r="AK59" s="1">
        <f>AI59*$BF$8-$BG$8</f>
        <v>362.40660255000012</v>
      </c>
      <c r="AL59" s="171">
        <f t="shared" ref="AL59" si="80">AK59/$I59</f>
        <v>4.8320880340000018E-2</v>
      </c>
      <c r="AM59" s="35">
        <f t="shared" si="21"/>
        <v>6286.0833974500001</v>
      </c>
      <c r="AN59" s="1"/>
      <c r="AO59" s="40">
        <v>851.51</v>
      </c>
      <c r="AP59" s="44">
        <f t="shared" si="65"/>
        <v>1500</v>
      </c>
      <c r="AQ59" s="1">
        <f t="shared" si="43"/>
        <v>6000</v>
      </c>
      <c r="AR59" s="1">
        <f>AQ59*$BF$20-$BG$20</f>
        <v>154.61979642643303</v>
      </c>
      <c r="AS59" s="171">
        <f t="shared" si="32"/>
        <v>2.0615972856857737E-2</v>
      </c>
      <c r="AT59" s="35">
        <f t="shared" si="67"/>
        <v>6493.8702035735669</v>
      </c>
      <c r="AU59" s="1"/>
      <c r="AV59" s="40">
        <v>851.51</v>
      </c>
      <c r="AW59" s="41">
        <f t="shared" si="68"/>
        <v>1500</v>
      </c>
      <c r="AX59" s="1">
        <f t="shared" si="69"/>
        <v>6000</v>
      </c>
      <c r="AY59" s="1">
        <f>AX59*$BF$32-$BG$32</f>
        <v>154.61979642643303</v>
      </c>
      <c r="AZ59" s="171">
        <f t="shared" si="71"/>
        <v>2.0615972856857737E-2</v>
      </c>
      <c r="BA59" s="35">
        <f t="shared" si="72"/>
        <v>6493.8702035735669</v>
      </c>
      <c r="BB59" s="1"/>
    </row>
    <row r="60" spans="8:54" ht="15" customHeight="1" x14ac:dyDescent="0.25">
      <c r="H60" s="11"/>
      <c r="I60" s="3">
        <v>8000</v>
      </c>
      <c r="J60" s="1"/>
      <c r="K60" s="34">
        <v>929.59</v>
      </c>
      <c r="L60" s="44">
        <v>929.59</v>
      </c>
      <c r="M60" s="1">
        <f t="shared" si="45"/>
        <v>7070.41</v>
      </c>
      <c r="N60" s="1">
        <f t="shared" si="40"/>
        <v>1048.36275</v>
      </c>
      <c r="O60" s="43">
        <f t="shared" si="9"/>
        <v>0.13104534374999999</v>
      </c>
      <c r="P60" s="35">
        <f t="shared" si="10"/>
        <v>6022.0472499999996</v>
      </c>
      <c r="Q60" s="1"/>
      <c r="R60" s="34">
        <v>929.59</v>
      </c>
      <c r="S60" s="44">
        <v>929.59</v>
      </c>
      <c r="T60" s="1">
        <f t="shared" si="46"/>
        <v>7070.41</v>
      </c>
      <c r="U60" s="1">
        <f t="shared" si="41"/>
        <v>1035.63275</v>
      </c>
      <c r="V60" s="43">
        <f t="shared" si="11"/>
        <v>0.12945409375</v>
      </c>
      <c r="W60" s="35">
        <f t="shared" si="12"/>
        <v>6034.7772500000001</v>
      </c>
      <c r="X60" s="1"/>
      <c r="Y60" s="264">
        <v>921.51</v>
      </c>
      <c r="Z60" s="266">
        <v>921.51</v>
      </c>
      <c r="AA60" s="252">
        <f t="shared" si="47"/>
        <v>7078.49</v>
      </c>
      <c r="AB60" s="268"/>
      <c r="AC60" s="252">
        <f t="shared" si="79"/>
        <v>1037.85475</v>
      </c>
      <c r="AD60" s="262">
        <f t="shared" si="29"/>
        <v>0.12973184374999999</v>
      </c>
      <c r="AE60" s="255">
        <f t="shared" si="20"/>
        <v>6040.6352499999994</v>
      </c>
      <c r="AF60" s="1"/>
      <c r="AG60" s="40">
        <v>921.51</v>
      </c>
      <c r="AH60" s="44">
        <v>921.51</v>
      </c>
      <c r="AI60" s="1">
        <f t="shared" si="14"/>
        <v>7078.49</v>
      </c>
      <c r="AJ60" s="1"/>
      <c r="AK60" s="1">
        <f>AI60*$BF$9-$BG$9</f>
        <v>454.43999819999999</v>
      </c>
      <c r="AL60" s="171">
        <f t="shared" ref="AL60" si="81">AK60/$I60</f>
        <v>5.6804999774999997E-2</v>
      </c>
      <c r="AM60" s="35">
        <f t="shared" si="21"/>
        <v>6624.0500018000002</v>
      </c>
      <c r="AN60" s="1"/>
      <c r="AO60" s="40">
        <v>921.51</v>
      </c>
      <c r="AP60" s="44">
        <f t="shared" si="65"/>
        <v>1600</v>
      </c>
      <c r="AQ60" s="1">
        <f t="shared" si="43"/>
        <v>6400</v>
      </c>
      <c r="AR60" s="1">
        <f t="shared" ref="AR60:AR63" si="82">AQ60*$BF$20-$BG$20</f>
        <v>214.61979642643303</v>
      </c>
      <c r="AS60" s="171">
        <f t="shared" si="32"/>
        <v>2.6827474553304129E-2</v>
      </c>
      <c r="AT60" s="35">
        <f t="shared" si="67"/>
        <v>6863.8702035735669</v>
      </c>
      <c r="AU60" s="1"/>
      <c r="AV60" s="40">
        <v>921.51</v>
      </c>
      <c r="AW60" s="41">
        <f t="shared" si="68"/>
        <v>1600</v>
      </c>
      <c r="AX60" s="1">
        <f t="shared" si="69"/>
        <v>6400</v>
      </c>
      <c r="AY60" s="1">
        <f>AX60*$BF$32-$BG$32</f>
        <v>214.61979642643303</v>
      </c>
      <c r="AZ60" s="171">
        <f t="shared" si="71"/>
        <v>2.6827474553304129E-2</v>
      </c>
      <c r="BA60" s="35">
        <f t="shared" si="72"/>
        <v>6863.8702035735669</v>
      </c>
      <c r="BB60" s="1"/>
    </row>
    <row r="61" spans="8:54" ht="15" customHeight="1" x14ac:dyDescent="0.3">
      <c r="H61" s="38" t="s">
        <v>32</v>
      </c>
      <c r="I61" s="9">
        <v>8157.41</v>
      </c>
      <c r="J61" s="1"/>
      <c r="K61" s="165">
        <v>951.63</v>
      </c>
      <c r="L61" s="44">
        <v>951.63</v>
      </c>
      <c r="M61" s="1">
        <f t="shared" ref="M61" si="83">$I61-L61</f>
        <v>7205.78</v>
      </c>
      <c r="N61" s="1">
        <f>M61*$E$10-$F$10</f>
        <v>1085.5895</v>
      </c>
      <c r="O61" s="43">
        <f t="shared" ref="O61" si="84">N61/$I61</f>
        <v>0.13308016882809617</v>
      </c>
      <c r="P61" s="39">
        <f t="shared" ref="P61" si="85">$I61-K61-N61</f>
        <v>6120.1904999999997</v>
      </c>
      <c r="Q61" s="1"/>
      <c r="R61" s="165">
        <v>951.63</v>
      </c>
      <c r="S61" s="44">
        <v>951.63</v>
      </c>
      <c r="T61" s="1">
        <f t="shared" si="46"/>
        <v>7205.78</v>
      </c>
      <c r="U61" s="1">
        <f>T61*$E$10-$F$10</f>
        <v>1085.5895</v>
      </c>
      <c r="V61" s="43">
        <f t="shared" si="11"/>
        <v>0.13308016882809617</v>
      </c>
      <c r="W61" s="39">
        <f t="shared" si="12"/>
        <v>6120.1904999999997</v>
      </c>
      <c r="X61" s="1"/>
      <c r="Y61" s="264">
        <v>943.55</v>
      </c>
      <c r="Z61" s="266">
        <v>943.55</v>
      </c>
      <c r="AA61" s="252">
        <f t="shared" si="47"/>
        <v>7213.86</v>
      </c>
      <c r="AB61" s="268"/>
      <c r="AC61" s="252">
        <f t="shared" si="79"/>
        <v>1075.0815</v>
      </c>
      <c r="AD61" s="262">
        <f t="shared" si="29"/>
        <v>0.13179201486746406</v>
      </c>
      <c r="AE61" s="258">
        <f t="shared" si="20"/>
        <v>6138.7784999999994</v>
      </c>
      <c r="AF61" s="1"/>
      <c r="AG61" s="40">
        <v>943.55</v>
      </c>
      <c r="AH61" s="44">
        <v>943.55</v>
      </c>
      <c r="AI61" s="1">
        <f t="shared" si="14"/>
        <v>7213.86</v>
      </c>
      <c r="AJ61" s="1"/>
      <c r="AK61" s="1">
        <f t="shared" ref="AK61:AK63" si="86">AI61*$BF$9-$BG$9</f>
        <v>484.89824820000013</v>
      </c>
      <c r="AL61" s="171">
        <f t="shared" ref="AL61:AL64" si="87">AK61/$I61</f>
        <v>5.9442672147164373E-2</v>
      </c>
      <c r="AM61" s="35">
        <f t="shared" si="21"/>
        <v>6728.9617517999995</v>
      </c>
      <c r="AN61" s="1"/>
      <c r="AO61" s="40">
        <v>943.55</v>
      </c>
      <c r="AP61" s="44">
        <f t="shared" si="65"/>
        <v>1631.482</v>
      </c>
      <c r="AQ61" s="1">
        <f t="shared" si="43"/>
        <v>6525.9279999999999</v>
      </c>
      <c r="AR61" s="1">
        <f t="shared" si="82"/>
        <v>233.50899642643299</v>
      </c>
      <c r="AS61" s="171">
        <f t="shared" si="32"/>
        <v>2.8625384334786775E-2</v>
      </c>
      <c r="AT61" s="35">
        <f t="shared" si="67"/>
        <v>6980.3510035735671</v>
      </c>
      <c r="AU61" s="1"/>
      <c r="AV61" s="40">
        <v>943.55</v>
      </c>
      <c r="AW61" s="41">
        <f t="shared" si="68"/>
        <v>1631.482</v>
      </c>
      <c r="AX61" s="1">
        <f t="shared" si="69"/>
        <v>6525.9279999999999</v>
      </c>
      <c r="AY61" s="1">
        <f>AX61*$BF$32-$BG$32</f>
        <v>233.50899642643299</v>
      </c>
      <c r="AZ61" s="171">
        <f t="shared" si="71"/>
        <v>2.8625384334786775E-2</v>
      </c>
      <c r="BA61" s="35">
        <f t="shared" si="72"/>
        <v>6980.3510035735671</v>
      </c>
      <c r="BB61" s="1"/>
    </row>
    <row r="62" spans="8:54" ht="15" customHeight="1" x14ac:dyDescent="0.3">
      <c r="H62" s="38" t="s">
        <v>34</v>
      </c>
      <c r="I62" s="9">
        <v>8475.5499999999993</v>
      </c>
      <c r="J62" s="1"/>
      <c r="K62" s="165">
        <v>951.63</v>
      </c>
      <c r="L62" s="44">
        <v>951.63</v>
      </c>
      <c r="M62" s="1">
        <f t="shared" si="45"/>
        <v>7523.9199999999992</v>
      </c>
      <c r="N62" s="1">
        <f>M62*$E$10-$F$10</f>
        <v>1173.078</v>
      </c>
      <c r="O62" s="43">
        <f t="shared" si="9"/>
        <v>0.13840730100111498</v>
      </c>
      <c r="P62" s="39">
        <f t="shared" si="10"/>
        <v>6350.8419999999987</v>
      </c>
      <c r="Q62" s="1"/>
      <c r="R62" s="165">
        <v>951.63</v>
      </c>
      <c r="S62" s="44">
        <v>951.63</v>
      </c>
      <c r="T62" s="1">
        <f t="shared" ref="T62" si="88">$I62-S62</f>
        <v>7523.9199999999992</v>
      </c>
      <c r="U62" s="1">
        <f t="shared" ref="U62" si="89">T62*$E$22-$F$22</f>
        <v>1160.348</v>
      </c>
      <c r="V62" s="43">
        <f t="shared" ref="V62" si="90">U62/$I62</f>
        <v>0.13690533357717199</v>
      </c>
      <c r="W62" s="39">
        <f t="shared" ref="W62" si="91">$I62-R62-U62</f>
        <v>6363.5719999999992</v>
      </c>
      <c r="X62" s="1"/>
      <c r="Y62" s="269">
        <v>988.09</v>
      </c>
      <c r="Z62" s="266">
        <v>988.09</v>
      </c>
      <c r="AA62" s="252">
        <f t="shared" ref="AA62" si="92">$I62-Z62</f>
        <v>7487.4599999999991</v>
      </c>
      <c r="AB62" s="268"/>
      <c r="AC62" s="252">
        <f t="shared" ref="AC62" si="93">AA62*$E$22-$F$22</f>
        <v>1150.3215</v>
      </c>
      <c r="AD62" s="262">
        <f t="shared" ref="AD62" si="94">AC62/$I62</f>
        <v>0.13572234250284643</v>
      </c>
      <c r="AE62" s="258">
        <f t="shared" ref="AE62" si="95">$I62-Y62-AC62</f>
        <v>6337.1384999999991</v>
      </c>
      <c r="AF62" s="1"/>
      <c r="AG62" s="165">
        <v>988.09</v>
      </c>
      <c r="AH62" s="44">
        <v>988.09</v>
      </c>
      <c r="AI62" s="1">
        <f t="shared" si="14"/>
        <v>7487.4599999999991</v>
      </c>
      <c r="AJ62" s="1"/>
      <c r="AK62" s="1">
        <f t="shared" si="86"/>
        <v>546.45824819999984</v>
      </c>
      <c r="AL62" s="171">
        <f t="shared" si="87"/>
        <v>6.4474665148574417E-2</v>
      </c>
      <c r="AM62" s="35">
        <f t="shared" si="21"/>
        <v>6941.0017517999995</v>
      </c>
      <c r="AN62" s="1"/>
      <c r="AO62" s="40">
        <v>988.09</v>
      </c>
      <c r="AP62" s="44">
        <f t="shared" si="65"/>
        <v>1695.11</v>
      </c>
      <c r="AQ62" s="1">
        <f t="shared" si="43"/>
        <v>6780.44</v>
      </c>
      <c r="AR62" s="1">
        <f t="shared" si="82"/>
        <v>271.68579642643294</v>
      </c>
      <c r="AS62" s="171">
        <f t="shared" si="32"/>
        <v>3.2055240831147594E-2</v>
      </c>
      <c r="AT62" s="35">
        <f t="shared" si="67"/>
        <v>7215.7742035735664</v>
      </c>
      <c r="AU62" s="1"/>
      <c r="AV62" s="40">
        <v>988.09</v>
      </c>
      <c r="AW62" s="41">
        <f t="shared" si="68"/>
        <v>1695.11</v>
      </c>
      <c r="AX62" s="1">
        <f t="shared" si="69"/>
        <v>6780.44</v>
      </c>
      <c r="AY62" s="1">
        <f>AX62*$BF$32-$BG$32</f>
        <v>271.68579642643294</v>
      </c>
      <c r="AZ62" s="171">
        <f t="shared" si="71"/>
        <v>3.2055240831147594E-2</v>
      </c>
      <c r="BA62" s="35">
        <f t="shared" si="72"/>
        <v>7215.7742035735664</v>
      </c>
      <c r="BB62" s="1"/>
    </row>
    <row r="63" spans="8:54" ht="15" customHeight="1" x14ac:dyDescent="0.25">
      <c r="H63" s="11"/>
      <c r="I63" s="3">
        <v>9000</v>
      </c>
      <c r="J63" s="1"/>
      <c r="K63" s="165">
        <v>951.63</v>
      </c>
      <c r="L63" s="44">
        <v>951.63</v>
      </c>
      <c r="M63" s="1">
        <f t="shared" si="45"/>
        <v>8048.37</v>
      </c>
      <c r="N63" s="1">
        <f t="shared" si="40"/>
        <v>1317.3017500000001</v>
      </c>
      <c r="O63" s="43">
        <f t="shared" si="9"/>
        <v>0.14636686111111111</v>
      </c>
      <c r="P63" s="35">
        <f>$I63-K63-N63</f>
        <v>6731.0682500000003</v>
      </c>
      <c r="Q63" s="1"/>
      <c r="R63" s="165">
        <v>951.63</v>
      </c>
      <c r="S63" s="44">
        <v>951.63</v>
      </c>
      <c r="T63" s="1">
        <f t="shared" si="46"/>
        <v>8048.37</v>
      </c>
      <c r="U63" s="1">
        <f t="shared" si="41"/>
        <v>1304.5717500000001</v>
      </c>
      <c r="V63" s="43">
        <f t="shared" si="11"/>
        <v>0.14495241666666667</v>
      </c>
      <c r="W63" s="35">
        <f t="shared" si="12"/>
        <v>6743.7982499999998</v>
      </c>
      <c r="X63" s="1"/>
      <c r="Y63" s="269">
        <v>988.09</v>
      </c>
      <c r="Z63" s="266">
        <v>988.09</v>
      </c>
      <c r="AA63" s="252">
        <f t="shared" si="47"/>
        <v>8011.91</v>
      </c>
      <c r="AB63" s="268"/>
      <c r="AC63" s="252">
        <f t="shared" si="79"/>
        <v>1294.5452500000001</v>
      </c>
      <c r="AD63" s="262">
        <f t="shared" si="29"/>
        <v>0.14383836111111112</v>
      </c>
      <c r="AE63" s="255">
        <f t="shared" si="20"/>
        <v>6717.3647499999997</v>
      </c>
      <c r="AF63" s="1"/>
      <c r="AG63" s="165">
        <v>988.09</v>
      </c>
      <c r="AH63" s="44">
        <v>988.09</v>
      </c>
      <c r="AI63" s="1">
        <f t="shared" si="14"/>
        <v>8011.91</v>
      </c>
      <c r="AJ63" s="1"/>
      <c r="AK63" s="1">
        <f t="shared" si="86"/>
        <v>664.4594982000001</v>
      </c>
      <c r="AL63" s="171">
        <f t="shared" si="87"/>
        <v>7.3828833133333341E-2</v>
      </c>
      <c r="AM63" s="35">
        <f t="shared" si="21"/>
        <v>7347.4505018</v>
      </c>
      <c r="AN63" s="1"/>
      <c r="AO63" s="40">
        <v>988.09</v>
      </c>
      <c r="AP63" s="44">
        <f t="shared" si="65"/>
        <v>1800</v>
      </c>
      <c r="AQ63" s="1">
        <f t="shared" si="43"/>
        <v>7200</v>
      </c>
      <c r="AR63" s="1">
        <f t="shared" si="82"/>
        <v>334.61979642643303</v>
      </c>
      <c r="AS63" s="171">
        <f t="shared" si="32"/>
        <v>3.7179977380714782E-2</v>
      </c>
      <c r="AT63" s="35">
        <f t="shared" si="67"/>
        <v>7677.2902035735669</v>
      </c>
      <c r="AU63" s="1"/>
      <c r="AV63" s="40">
        <v>988.09</v>
      </c>
      <c r="AW63" s="41">
        <f t="shared" si="68"/>
        <v>1800</v>
      </c>
      <c r="AX63" s="1">
        <f t="shared" si="69"/>
        <v>7200</v>
      </c>
      <c r="AY63" s="1">
        <f>AX63*$BF$32-$BG$32</f>
        <v>334.61979642643303</v>
      </c>
      <c r="AZ63" s="171">
        <f t="shared" si="71"/>
        <v>3.7179977380714782E-2</v>
      </c>
      <c r="BA63" s="35">
        <f t="shared" si="72"/>
        <v>7677.2902035735669</v>
      </c>
      <c r="BB63" s="1"/>
    </row>
    <row r="64" spans="8:54" ht="15" customHeight="1" x14ac:dyDescent="0.25">
      <c r="I64" s="3">
        <v>10000</v>
      </c>
      <c r="J64" s="1"/>
      <c r="K64" s="165">
        <v>951.63</v>
      </c>
      <c r="L64" s="44">
        <v>951.63</v>
      </c>
      <c r="M64" s="1">
        <f t="shared" si="45"/>
        <v>9048.3700000000008</v>
      </c>
      <c r="N64" s="1">
        <f t="shared" si="40"/>
        <v>1592.3017500000005</v>
      </c>
      <c r="O64" s="43">
        <f t="shared" si="9"/>
        <v>0.15923017500000006</v>
      </c>
      <c r="P64" s="35">
        <f t="shared" ref="P64:P103" si="96">$I64-K64-N64</f>
        <v>7456.0682500000003</v>
      </c>
      <c r="Q64" s="1"/>
      <c r="R64" s="165">
        <v>951.63</v>
      </c>
      <c r="S64" s="44">
        <v>951.63</v>
      </c>
      <c r="T64" s="1">
        <f t="shared" si="46"/>
        <v>9048.3700000000008</v>
      </c>
      <c r="U64" s="1">
        <f t="shared" si="41"/>
        <v>1579.5717500000005</v>
      </c>
      <c r="V64" s="43">
        <f t="shared" si="11"/>
        <v>0.15795717500000006</v>
      </c>
      <c r="W64" s="35">
        <f t="shared" si="12"/>
        <v>7468.7982499999998</v>
      </c>
      <c r="X64" s="1"/>
      <c r="Y64" s="269">
        <v>988.09</v>
      </c>
      <c r="Z64" s="266">
        <v>988.09</v>
      </c>
      <c r="AA64" s="252">
        <f t="shared" si="47"/>
        <v>9011.91</v>
      </c>
      <c r="AB64" s="268"/>
      <c r="AC64" s="252">
        <f t="shared" si="79"/>
        <v>1569.5452500000001</v>
      </c>
      <c r="AD64" s="262">
        <f t="shared" si="29"/>
        <v>0.15695452500000001</v>
      </c>
      <c r="AE64" s="255">
        <f t="shared" si="20"/>
        <v>7442.3647499999997</v>
      </c>
      <c r="AF64" s="1"/>
      <c r="AG64" s="165">
        <v>988.09</v>
      </c>
      <c r="AH64" s="44">
        <v>988.09</v>
      </c>
      <c r="AI64" s="1">
        <f t="shared" si="14"/>
        <v>9011.91</v>
      </c>
      <c r="AJ64" s="1"/>
      <c r="AK64" s="1">
        <f>AI64*$BF$10-$BG$10</f>
        <v>922.72940199999994</v>
      </c>
      <c r="AL64" s="171">
        <f t="shared" si="87"/>
        <v>9.22729402E-2</v>
      </c>
      <c r="AM64" s="35">
        <f t="shared" si="21"/>
        <v>8089.1805979999999</v>
      </c>
      <c r="AN64" s="1"/>
      <c r="AO64" s="40">
        <v>988.09</v>
      </c>
      <c r="AP64" s="44">
        <f t="shared" si="65"/>
        <v>2000</v>
      </c>
      <c r="AQ64" s="1">
        <f t="shared" si="43"/>
        <v>8000</v>
      </c>
      <c r="AR64" s="1">
        <f>AQ64*$BF$21-$BG$21</f>
        <v>463.58680238237753</v>
      </c>
      <c r="AS64" s="171">
        <f t="shared" si="32"/>
        <v>4.6358680238237755E-2</v>
      </c>
      <c r="AT64" s="35">
        <f t="shared" si="67"/>
        <v>8548.323197617623</v>
      </c>
      <c r="AU64" s="1"/>
      <c r="AV64" s="40">
        <v>988.09</v>
      </c>
      <c r="AW64" s="41">
        <f t="shared" si="68"/>
        <v>2000</v>
      </c>
      <c r="AX64" s="1">
        <f t="shared" si="69"/>
        <v>8000</v>
      </c>
      <c r="AY64" s="1">
        <f>AX64*$BF$33-$BG$33</f>
        <v>463.58680238237753</v>
      </c>
      <c r="AZ64" s="171">
        <f t="shared" si="71"/>
        <v>4.6358680238237755E-2</v>
      </c>
      <c r="BA64" s="35">
        <f t="shared" si="72"/>
        <v>8548.323197617623</v>
      </c>
      <c r="BB64" s="1"/>
    </row>
    <row r="65" spans="7:54" ht="15" customHeight="1" x14ac:dyDescent="0.25">
      <c r="I65" s="3">
        <v>11000</v>
      </c>
      <c r="J65" s="1"/>
      <c r="K65" s="165">
        <v>951.63</v>
      </c>
      <c r="L65" s="44">
        <v>951.63</v>
      </c>
      <c r="M65" s="1">
        <f t="shared" si="45"/>
        <v>10048.370000000001</v>
      </c>
      <c r="N65" s="1">
        <f t="shared" si="40"/>
        <v>1867.3017500000005</v>
      </c>
      <c r="O65" s="43">
        <f t="shared" si="9"/>
        <v>0.1697547045454546</v>
      </c>
      <c r="P65" s="35">
        <f t="shared" si="96"/>
        <v>8181.0682500000003</v>
      </c>
      <c r="Q65" s="1"/>
      <c r="R65" s="165">
        <v>951.63</v>
      </c>
      <c r="S65" s="44">
        <v>951.63</v>
      </c>
      <c r="T65" s="1">
        <f t="shared" si="46"/>
        <v>10048.370000000001</v>
      </c>
      <c r="U65" s="1">
        <f t="shared" si="41"/>
        <v>1854.5717500000005</v>
      </c>
      <c r="V65" s="43">
        <f t="shared" si="11"/>
        <v>0.16859743181818188</v>
      </c>
      <c r="W65" s="35">
        <f t="shared" si="12"/>
        <v>8193.7982499999998</v>
      </c>
      <c r="X65" s="1"/>
      <c r="Y65" s="269">
        <v>988.09</v>
      </c>
      <c r="Z65" s="266">
        <v>988.09</v>
      </c>
      <c r="AA65" s="252">
        <f t="shared" si="47"/>
        <v>10011.91</v>
      </c>
      <c r="AB65" s="268"/>
      <c r="AC65" s="252">
        <f t="shared" si="79"/>
        <v>1844.5452500000001</v>
      </c>
      <c r="AD65" s="262">
        <f t="shared" si="29"/>
        <v>0.16768593181818184</v>
      </c>
      <c r="AE65" s="255">
        <f t="shared" si="20"/>
        <v>8167.3647499999997</v>
      </c>
      <c r="AF65" s="1"/>
      <c r="AG65" s="165">
        <v>988.09</v>
      </c>
      <c r="AH65" s="44">
        <v>988.09</v>
      </c>
      <c r="AI65" s="1">
        <f t="shared" si="14"/>
        <v>10011.91</v>
      </c>
      <c r="AJ65" s="1"/>
      <c r="AK65" s="1">
        <f t="shared" ref="AK65:AK70" si="97">AI65*$BF$10-$BG$10</f>
        <v>1197.7294019999999</v>
      </c>
      <c r="AL65" s="171">
        <f t="shared" ref="AL65:AL103" si="98">AK65/$I65</f>
        <v>0.10888449109090909</v>
      </c>
      <c r="AM65" s="35">
        <f t="shared" si="21"/>
        <v>8814.180597999999</v>
      </c>
      <c r="AN65" s="1"/>
      <c r="AO65" s="40">
        <v>988.09</v>
      </c>
      <c r="AP65" s="44">
        <f t="shared" si="65"/>
        <v>2200</v>
      </c>
      <c r="AQ65" s="1">
        <f t="shared" si="43"/>
        <v>8800</v>
      </c>
      <c r="AR65" s="1">
        <f t="shared" ref="AR65:AR66" si="99">AQ65*$BF$21-$BG$21</f>
        <v>643.58680238237753</v>
      </c>
      <c r="AS65" s="171">
        <f t="shared" si="32"/>
        <v>5.8507891125670682E-2</v>
      </c>
      <c r="AT65" s="35">
        <f t="shared" si="67"/>
        <v>9368.323197617623</v>
      </c>
      <c r="AU65" s="1"/>
      <c r="AV65" s="40">
        <v>988.09</v>
      </c>
      <c r="AW65" s="41">
        <f t="shared" si="68"/>
        <v>2200</v>
      </c>
      <c r="AX65" s="1">
        <f t="shared" si="69"/>
        <v>8800</v>
      </c>
      <c r="AY65" s="1">
        <f>AX65*$BF$33-$BG$33</f>
        <v>643.58680238237753</v>
      </c>
      <c r="AZ65" s="171">
        <f t="shared" si="71"/>
        <v>5.8507891125670682E-2</v>
      </c>
      <c r="BA65" s="35">
        <f t="shared" si="72"/>
        <v>9368.323197617623</v>
      </c>
      <c r="BB65" s="1"/>
    </row>
    <row r="66" spans="7:54" x14ac:dyDescent="0.25">
      <c r="I66" s="3">
        <v>12000</v>
      </c>
      <c r="J66" s="1"/>
      <c r="K66" s="165">
        <v>951.63</v>
      </c>
      <c r="L66" s="44">
        <v>951.63</v>
      </c>
      <c r="M66" s="1">
        <f t="shared" si="45"/>
        <v>11048.37</v>
      </c>
      <c r="N66" s="1">
        <f t="shared" si="40"/>
        <v>2142.3017500000005</v>
      </c>
      <c r="O66" s="43">
        <f t="shared" si="9"/>
        <v>0.17852514583333337</v>
      </c>
      <c r="P66" s="35">
        <f t="shared" si="96"/>
        <v>8906.0682500000003</v>
      </c>
      <c r="Q66" s="1"/>
      <c r="R66" s="165">
        <v>951.63</v>
      </c>
      <c r="S66" s="44">
        <v>951.63</v>
      </c>
      <c r="T66" s="1">
        <f t="shared" si="46"/>
        <v>11048.37</v>
      </c>
      <c r="U66" s="1">
        <f t="shared" si="41"/>
        <v>2129.5717500000005</v>
      </c>
      <c r="V66" s="43">
        <f t="shared" si="11"/>
        <v>0.17746431250000005</v>
      </c>
      <c r="W66" s="35">
        <f t="shared" si="12"/>
        <v>8918.7982499999998</v>
      </c>
      <c r="X66" s="1"/>
      <c r="Y66" s="269">
        <v>988.09</v>
      </c>
      <c r="Z66" s="266">
        <v>988.09</v>
      </c>
      <c r="AA66" s="252">
        <f t="shared" si="47"/>
        <v>11011.91</v>
      </c>
      <c r="AB66" s="268"/>
      <c r="AC66" s="252">
        <f t="shared" si="79"/>
        <v>2119.5452500000001</v>
      </c>
      <c r="AD66" s="262">
        <f t="shared" si="29"/>
        <v>0.17662877083333334</v>
      </c>
      <c r="AE66" s="255">
        <f t="shared" si="20"/>
        <v>8892.3647500000006</v>
      </c>
      <c r="AF66" s="1"/>
      <c r="AG66" s="165">
        <v>988.09</v>
      </c>
      <c r="AH66" s="44">
        <v>988.09</v>
      </c>
      <c r="AI66" s="1">
        <f t="shared" si="14"/>
        <v>11011.91</v>
      </c>
      <c r="AJ66" s="1"/>
      <c r="AK66" s="1">
        <f t="shared" si="97"/>
        <v>1472.7294019999999</v>
      </c>
      <c r="AL66" s="171">
        <f t="shared" si="98"/>
        <v>0.12272745016666665</v>
      </c>
      <c r="AM66" s="35">
        <f t="shared" si="21"/>
        <v>9539.180597999999</v>
      </c>
      <c r="AN66" s="1"/>
      <c r="AO66" s="40">
        <v>988.09</v>
      </c>
      <c r="AP66" s="44">
        <f t="shared" si="65"/>
        <v>2400</v>
      </c>
      <c r="AQ66" s="1">
        <f t="shared" si="43"/>
        <v>9600</v>
      </c>
      <c r="AR66" s="1">
        <f t="shared" si="99"/>
        <v>823.58680238237753</v>
      </c>
      <c r="AS66" s="171">
        <f t="shared" si="32"/>
        <v>6.8632233531864789E-2</v>
      </c>
      <c r="AT66" s="35">
        <f t="shared" si="67"/>
        <v>10188.323197617623</v>
      </c>
      <c r="AU66" s="1"/>
      <c r="AV66" s="40">
        <v>988.09</v>
      </c>
      <c r="AW66" s="41">
        <f t="shared" si="68"/>
        <v>2400</v>
      </c>
      <c r="AX66" s="1">
        <f t="shared" si="69"/>
        <v>9600</v>
      </c>
      <c r="AY66" s="1">
        <f>AX66*$BF$33-$BG$33</f>
        <v>823.58680238237753</v>
      </c>
      <c r="AZ66" s="171">
        <f t="shared" si="71"/>
        <v>6.8632233531864789E-2</v>
      </c>
      <c r="BA66" s="35">
        <f t="shared" si="72"/>
        <v>10188.323197617623</v>
      </c>
      <c r="BB66" s="1"/>
    </row>
    <row r="67" spans="7:54" x14ac:dyDescent="0.25">
      <c r="I67" s="9">
        <v>12410</v>
      </c>
      <c r="J67" s="1"/>
      <c r="K67" s="165">
        <v>951.63</v>
      </c>
      <c r="L67" s="44">
        <v>951.63</v>
      </c>
      <c r="M67" s="1"/>
      <c r="N67" s="1"/>
      <c r="O67" s="43"/>
      <c r="P67" s="35"/>
      <c r="Q67" s="1"/>
      <c r="R67" s="165">
        <v>951.63</v>
      </c>
      <c r="S67" s="44">
        <v>951.63</v>
      </c>
      <c r="T67" s="1"/>
      <c r="U67" s="1"/>
      <c r="V67" s="43"/>
      <c r="W67" s="35"/>
      <c r="X67" s="1"/>
      <c r="Y67" s="269">
        <v>988.09</v>
      </c>
      <c r="Z67" s="266">
        <v>988.09</v>
      </c>
      <c r="AA67" s="252"/>
      <c r="AB67" s="268"/>
      <c r="AC67" s="252"/>
      <c r="AD67" s="262"/>
      <c r="AE67" s="255"/>
      <c r="AF67" s="1"/>
      <c r="AG67" s="165">
        <v>988.09</v>
      </c>
      <c r="AH67" s="44">
        <v>988.09</v>
      </c>
      <c r="AI67" s="1">
        <f t="shared" si="14"/>
        <v>11421.91</v>
      </c>
      <c r="AJ67" s="1"/>
      <c r="AK67" s="1">
        <f t="shared" si="97"/>
        <v>1585.4794019999999</v>
      </c>
      <c r="AL67" s="171">
        <f t="shared" si="98"/>
        <v>0.1277582112812248</v>
      </c>
      <c r="AM67" s="35">
        <f t="shared" si="21"/>
        <v>9836.430597999999</v>
      </c>
      <c r="AN67" s="1"/>
      <c r="AO67" s="40">
        <v>988.09</v>
      </c>
      <c r="AP67" s="44">
        <f t="shared" si="65"/>
        <v>2482</v>
      </c>
      <c r="AQ67" s="1">
        <f t="shared" si="43"/>
        <v>9928</v>
      </c>
      <c r="AR67" s="1">
        <f>AQ67*$BF$22-$BG$22</f>
        <v>903.79426044391198</v>
      </c>
      <c r="AS67" s="171">
        <f t="shared" ref="AS67" si="100">AR67/$I67</f>
        <v>7.2827901727954225E-2</v>
      </c>
      <c r="AT67" s="35">
        <f t="shared" si="67"/>
        <v>10518.115739556088</v>
      </c>
      <c r="AU67" s="1"/>
      <c r="AV67" s="40">
        <v>988.09</v>
      </c>
      <c r="AW67" s="41">
        <f t="shared" si="68"/>
        <v>2482</v>
      </c>
      <c r="AX67" s="1">
        <f t="shared" si="69"/>
        <v>9928</v>
      </c>
      <c r="AY67" s="1">
        <f t="shared" ref="AY67:AY83" si="101">AX67*$BF$34-$BG$34</f>
        <v>903.79426044391198</v>
      </c>
      <c r="AZ67" s="171">
        <f t="shared" si="71"/>
        <v>7.2827901727954225E-2</v>
      </c>
      <c r="BA67" s="35">
        <f t="shared" si="72"/>
        <v>10518.115739556088</v>
      </c>
      <c r="BB67" s="1"/>
    </row>
    <row r="68" spans="7:54" x14ac:dyDescent="0.25">
      <c r="I68" s="3">
        <v>13000</v>
      </c>
      <c r="J68" s="1"/>
      <c r="K68" s="165">
        <v>951.63</v>
      </c>
      <c r="L68" s="44">
        <v>951.63</v>
      </c>
      <c r="M68" s="1">
        <f t="shared" si="45"/>
        <v>12048.37</v>
      </c>
      <c r="N68" s="1">
        <f t="shared" si="40"/>
        <v>2417.3017500000005</v>
      </c>
      <c r="O68" s="43">
        <f t="shared" si="9"/>
        <v>0.18594628846153849</v>
      </c>
      <c r="P68" s="35">
        <f t="shared" si="96"/>
        <v>9631.0682500000003</v>
      </c>
      <c r="Q68" s="1"/>
      <c r="R68" s="165">
        <v>951.63</v>
      </c>
      <c r="S68" s="44">
        <v>951.63</v>
      </c>
      <c r="T68" s="1">
        <f t="shared" si="46"/>
        <v>12048.37</v>
      </c>
      <c r="U68" s="1">
        <f t="shared" si="41"/>
        <v>2404.5717500000005</v>
      </c>
      <c r="V68" s="43">
        <f t="shared" si="11"/>
        <v>0.18496705769230773</v>
      </c>
      <c r="W68" s="35">
        <f t="shared" si="12"/>
        <v>9643.7982499999998</v>
      </c>
      <c r="X68" s="1"/>
      <c r="Y68" s="269">
        <v>988.09</v>
      </c>
      <c r="Z68" s="266">
        <v>988.09</v>
      </c>
      <c r="AA68" s="252">
        <f t="shared" si="47"/>
        <v>12011.91</v>
      </c>
      <c r="AB68" s="268"/>
      <c r="AC68" s="252">
        <f t="shared" si="79"/>
        <v>2394.5452500000001</v>
      </c>
      <c r="AD68" s="262">
        <f t="shared" si="29"/>
        <v>0.18419578846153847</v>
      </c>
      <c r="AE68" s="255">
        <f t="shared" si="20"/>
        <v>9617.3647500000006</v>
      </c>
      <c r="AF68" s="1"/>
      <c r="AG68" s="165">
        <v>988.09</v>
      </c>
      <c r="AH68" s="44">
        <v>988.09</v>
      </c>
      <c r="AI68" s="1">
        <f t="shared" si="14"/>
        <v>12011.91</v>
      </c>
      <c r="AJ68" s="1"/>
      <c r="AK68" s="1">
        <f t="shared" si="97"/>
        <v>1747.7294019999999</v>
      </c>
      <c r="AL68" s="171">
        <f t="shared" si="98"/>
        <v>0.13444072323076922</v>
      </c>
      <c r="AM68" s="35">
        <f t="shared" si="21"/>
        <v>10264.180597999999</v>
      </c>
      <c r="AN68" s="1"/>
      <c r="AO68" s="40">
        <v>988.09</v>
      </c>
      <c r="AP68" s="44">
        <f t="shared" si="65"/>
        <v>2600</v>
      </c>
      <c r="AQ68" s="1">
        <f t="shared" si="43"/>
        <v>10400</v>
      </c>
      <c r="AR68" s="1">
        <f t="shared" ref="AR68:AR103" si="102">AQ68*$BF$22-$BG$22</f>
        <v>1033.5942604439122</v>
      </c>
      <c r="AS68" s="171">
        <f t="shared" si="32"/>
        <v>7.9507250803377852E-2</v>
      </c>
      <c r="AT68" s="35">
        <f t="shared" si="67"/>
        <v>10978.315739556088</v>
      </c>
      <c r="AU68" s="1"/>
      <c r="AV68" s="40">
        <v>988.09</v>
      </c>
      <c r="AW68" s="41">
        <f t="shared" si="68"/>
        <v>2600</v>
      </c>
      <c r="AX68" s="1">
        <f t="shared" si="69"/>
        <v>10400</v>
      </c>
      <c r="AY68" s="1">
        <f t="shared" si="101"/>
        <v>1033.5942604439122</v>
      </c>
      <c r="AZ68" s="171">
        <f t="shared" si="71"/>
        <v>7.9507250803377852E-2</v>
      </c>
      <c r="BA68" s="35">
        <f t="shared" si="72"/>
        <v>10978.315739556088</v>
      </c>
      <c r="BB68" s="1"/>
    </row>
    <row r="69" spans="7:54" ht="15.75" x14ac:dyDescent="0.25">
      <c r="H69" s="38" t="s">
        <v>152</v>
      </c>
      <c r="I69" s="9">
        <v>13420</v>
      </c>
      <c r="J69" s="1"/>
      <c r="K69" s="165">
        <v>951.63</v>
      </c>
      <c r="L69" s="44">
        <v>951.63</v>
      </c>
      <c r="M69" s="1"/>
      <c r="N69" s="1"/>
      <c r="O69" s="43"/>
      <c r="P69" s="35"/>
      <c r="Q69" s="1"/>
      <c r="R69" s="165">
        <v>951.63</v>
      </c>
      <c r="S69" s="44">
        <v>951.63</v>
      </c>
      <c r="T69" s="1"/>
      <c r="U69" s="1"/>
      <c r="V69" s="43"/>
      <c r="W69" s="35"/>
      <c r="X69" s="1"/>
      <c r="Y69" s="269">
        <v>988.09</v>
      </c>
      <c r="Z69" s="266">
        <v>988.09</v>
      </c>
      <c r="AA69" s="252">
        <f t="shared" ref="AA69" si="103">$I69-Z69</f>
        <v>12431.91</v>
      </c>
      <c r="AB69" s="268"/>
      <c r="AC69" s="252">
        <f t="shared" ref="AC69" si="104">AA69*$E$22-$F$22</f>
        <v>2510.0452500000001</v>
      </c>
      <c r="AD69" s="262">
        <f t="shared" ref="AD69" si="105">AC69/$I69</f>
        <v>0.18703764903129658</v>
      </c>
      <c r="AE69" s="255">
        <f t="shared" ref="AE69" si="106">$I69-Y69-AC69</f>
        <v>9921.8647500000006</v>
      </c>
      <c r="AF69" s="1"/>
      <c r="AG69" s="165">
        <v>988.09</v>
      </c>
      <c r="AH69" s="44">
        <v>988.09</v>
      </c>
      <c r="AI69" s="1">
        <f t="shared" ref="AI69:AI103" si="107">$I69-AH69</f>
        <v>12431.91</v>
      </c>
      <c r="AJ69" s="1"/>
      <c r="AK69" s="1">
        <f t="shared" si="97"/>
        <v>1863.2294019999999</v>
      </c>
      <c r="AL69" s="171">
        <f t="shared" si="98"/>
        <v>0.13883974679582711</v>
      </c>
      <c r="AM69" s="35">
        <f t="shared" si="21"/>
        <v>10568.680597999999</v>
      </c>
      <c r="AN69" s="1"/>
      <c r="AO69" s="40">
        <v>988.09</v>
      </c>
      <c r="AP69" s="44">
        <f t="shared" si="65"/>
        <v>2684</v>
      </c>
      <c r="AQ69" s="1">
        <f t="shared" si="43"/>
        <v>10736</v>
      </c>
      <c r="AR69" s="1">
        <f t="shared" si="102"/>
        <v>1125.9942604439118</v>
      </c>
      <c r="AS69" s="171">
        <f t="shared" ref="AS69" si="108">AR69/$I69</f>
        <v>8.390419228345096E-2</v>
      </c>
      <c r="AT69" s="35">
        <f t="shared" si="67"/>
        <v>11305.915739556089</v>
      </c>
      <c r="AU69" s="1"/>
      <c r="AV69" s="40">
        <v>988.09</v>
      </c>
      <c r="AW69" s="41">
        <f t="shared" si="68"/>
        <v>2684</v>
      </c>
      <c r="AX69" s="1">
        <f t="shared" si="69"/>
        <v>10736</v>
      </c>
      <c r="AY69" s="1">
        <f t="shared" si="101"/>
        <v>1125.9942604439118</v>
      </c>
      <c r="AZ69" s="171">
        <f t="shared" si="71"/>
        <v>8.390419228345096E-2</v>
      </c>
      <c r="BA69" s="35">
        <f t="shared" si="72"/>
        <v>11305.915739556089</v>
      </c>
      <c r="BB69" s="1"/>
    </row>
    <row r="70" spans="7:54" x14ac:dyDescent="0.25">
      <c r="I70" s="3">
        <v>14000</v>
      </c>
      <c r="J70" s="1"/>
      <c r="K70" s="165">
        <v>951.63</v>
      </c>
      <c r="L70" s="44">
        <v>951.63</v>
      </c>
      <c r="M70" s="1">
        <f t="shared" si="45"/>
        <v>13048.37</v>
      </c>
      <c r="N70" s="1">
        <f t="shared" si="40"/>
        <v>2692.3017500000005</v>
      </c>
      <c r="O70" s="43">
        <f t="shared" si="9"/>
        <v>0.19230726785714289</v>
      </c>
      <c r="P70" s="35">
        <f t="shared" si="96"/>
        <v>10356.06825</v>
      </c>
      <c r="Q70" s="1"/>
      <c r="R70" s="165">
        <v>951.63</v>
      </c>
      <c r="S70" s="44">
        <v>951.63</v>
      </c>
      <c r="T70" s="1">
        <f t="shared" si="46"/>
        <v>13048.37</v>
      </c>
      <c r="U70" s="1">
        <f t="shared" si="41"/>
        <v>2679.5717500000005</v>
      </c>
      <c r="V70" s="43">
        <f t="shared" si="11"/>
        <v>0.19139798214285719</v>
      </c>
      <c r="W70" s="35">
        <f t="shared" si="12"/>
        <v>10368.79825</v>
      </c>
      <c r="X70" s="1"/>
      <c r="Y70" s="269">
        <v>988.09</v>
      </c>
      <c r="Z70" s="266">
        <v>988.09</v>
      </c>
      <c r="AA70" s="252">
        <f t="shared" si="47"/>
        <v>13011.91</v>
      </c>
      <c r="AB70" s="268"/>
      <c r="AC70" s="252">
        <f t="shared" si="79"/>
        <v>2669.5452500000001</v>
      </c>
      <c r="AD70" s="262">
        <f t="shared" si="29"/>
        <v>0.19068180357142858</v>
      </c>
      <c r="AE70" s="255">
        <f t="shared" si="20"/>
        <v>10342.364750000001</v>
      </c>
      <c r="AF70" s="1"/>
      <c r="AG70" s="165">
        <v>988.09</v>
      </c>
      <c r="AH70" s="44">
        <v>988.09</v>
      </c>
      <c r="AI70" s="1">
        <f t="shared" si="107"/>
        <v>13011.91</v>
      </c>
      <c r="AJ70" s="1"/>
      <c r="AK70" s="1">
        <f t="shared" si="97"/>
        <v>2022.7294019999999</v>
      </c>
      <c r="AL70" s="171">
        <f t="shared" si="98"/>
        <v>0.14448067157142858</v>
      </c>
      <c r="AM70" s="35">
        <f t="shared" si="21"/>
        <v>10989.180597999999</v>
      </c>
      <c r="AN70" s="1"/>
      <c r="AO70" s="40">
        <v>988.09</v>
      </c>
      <c r="AP70" s="44">
        <f t="shared" si="65"/>
        <v>2800</v>
      </c>
      <c r="AQ70" s="1">
        <f t="shared" si="43"/>
        <v>11200</v>
      </c>
      <c r="AR70" s="1">
        <f t="shared" si="102"/>
        <v>1253.5942604439122</v>
      </c>
      <c r="AS70" s="171">
        <f t="shared" si="32"/>
        <v>8.9542447174565151E-2</v>
      </c>
      <c r="AT70" s="35">
        <f t="shared" si="67"/>
        <v>11758.315739556088</v>
      </c>
      <c r="AU70" s="1"/>
      <c r="AV70" s="40">
        <v>988.09</v>
      </c>
      <c r="AW70" s="41">
        <f t="shared" si="68"/>
        <v>2800</v>
      </c>
      <c r="AX70" s="1">
        <f t="shared" si="69"/>
        <v>11200</v>
      </c>
      <c r="AY70" s="1">
        <f t="shared" si="101"/>
        <v>1253.5942604439122</v>
      </c>
      <c r="AZ70" s="171">
        <f t="shared" si="71"/>
        <v>8.9542447174565151E-2</v>
      </c>
      <c r="BA70" s="35">
        <f t="shared" si="72"/>
        <v>11758.315739556088</v>
      </c>
      <c r="BB70" s="1"/>
    </row>
    <row r="71" spans="7:54" x14ac:dyDescent="0.25">
      <c r="I71" s="9">
        <v>14660</v>
      </c>
      <c r="J71" s="1"/>
      <c r="K71" s="165"/>
      <c r="L71" s="44"/>
      <c r="M71" s="1"/>
      <c r="N71" s="1"/>
      <c r="O71" s="43"/>
      <c r="P71" s="35"/>
      <c r="Q71" s="1"/>
      <c r="R71" s="165"/>
      <c r="S71" s="44"/>
      <c r="T71" s="1"/>
      <c r="U71" s="1"/>
      <c r="V71" s="43"/>
      <c r="W71" s="35"/>
      <c r="X71" s="1"/>
      <c r="Y71" s="269"/>
      <c r="Z71" s="266"/>
      <c r="AA71" s="252"/>
      <c r="AB71" s="268"/>
      <c r="AC71" s="252"/>
      <c r="AD71" s="262"/>
      <c r="AE71" s="255"/>
      <c r="AF71" s="1"/>
      <c r="AG71" s="165"/>
      <c r="AH71" s="44"/>
      <c r="AI71" s="1"/>
      <c r="AJ71" s="1"/>
      <c r="AK71" s="1"/>
      <c r="AL71" s="171"/>
      <c r="AM71" s="35">
        <f t="shared" si="21"/>
        <v>14660</v>
      </c>
      <c r="AN71" s="1"/>
      <c r="AO71" s="40">
        <v>988.09</v>
      </c>
      <c r="AP71" s="163">
        <f t="shared" si="65"/>
        <v>2932</v>
      </c>
      <c r="AQ71" s="1">
        <f t="shared" si="43"/>
        <v>11728</v>
      </c>
      <c r="AR71" s="1">
        <f t="shared" si="102"/>
        <v>1398.794260443912</v>
      </c>
      <c r="AS71" s="171">
        <f t="shared" ref="AS71" si="109">AR71/$I71</f>
        <v>9.5415706715137244E-2</v>
      </c>
      <c r="AT71" s="35">
        <f t="shared" si="67"/>
        <v>12273.115739556088</v>
      </c>
      <c r="AU71" s="1"/>
      <c r="AV71" s="40">
        <v>988.09</v>
      </c>
      <c r="AW71" s="163">
        <f t="shared" si="68"/>
        <v>2932</v>
      </c>
      <c r="AX71" s="1">
        <f t="shared" si="69"/>
        <v>11728</v>
      </c>
      <c r="AY71" s="1">
        <f t="shared" si="101"/>
        <v>1398.794260443912</v>
      </c>
      <c r="AZ71" s="171">
        <f t="shared" si="71"/>
        <v>9.5415706715137244E-2</v>
      </c>
      <c r="BA71" s="35">
        <f t="shared" si="72"/>
        <v>12273.115739556088</v>
      </c>
      <c r="BB71" s="1"/>
    </row>
    <row r="72" spans="7:54" x14ac:dyDescent="0.25">
      <c r="I72" s="3">
        <v>15000</v>
      </c>
      <c r="J72" s="1"/>
      <c r="K72" s="165">
        <v>951.63</v>
      </c>
      <c r="L72" s="44">
        <v>951.63</v>
      </c>
      <c r="M72" s="1">
        <f t="shared" si="45"/>
        <v>14048.37</v>
      </c>
      <c r="N72" s="1">
        <f t="shared" si="40"/>
        <v>2967.3017500000005</v>
      </c>
      <c r="O72" s="43">
        <f t="shared" si="9"/>
        <v>0.19782011666666671</v>
      </c>
      <c r="P72" s="35">
        <f t="shared" si="96"/>
        <v>11081.06825</v>
      </c>
      <c r="Q72" s="1"/>
      <c r="R72" s="165">
        <v>951.63</v>
      </c>
      <c r="S72" s="44">
        <v>951.63</v>
      </c>
      <c r="T72" s="1">
        <f t="shared" si="46"/>
        <v>14048.37</v>
      </c>
      <c r="U72" s="1">
        <f t="shared" si="41"/>
        <v>2954.5717500000005</v>
      </c>
      <c r="V72" s="43">
        <f t="shared" si="11"/>
        <v>0.19697145000000005</v>
      </c>
      <c r="W72" s="35">
        <f t="shared" si="12"/>
        <v>11093.79825</v>
      </c>
      <c r="X72" s="1"/>
      <c r="Y72" s="269">
        <v>988.09</v>
      </c>
      <c r="Z72" s="266">
        <v>988.09</v>
      </c>
      <c r="AA72" s="252">
        <f t="shared" si="47"/>
        <v>14011.91</v>
      </c>
      <c r="AB72" s="268"/>
      <c r="AC72" s="252">
        <f t="shared" si="79"/>
        <v>2944.5452500000001</v>
      </c>
      <c r="AD72" s="262">
        <f t="shared" si="29"/>
        <v>0.19630301666666666</v>
      </c>
      <c r="AE72" s="255">
        <f t="shared" si="20"/>
        <v>11067.364750000001</v>
      </c>
      <c r="AF72" s="1"/>
      <c r="AG72" s="165">
        <v>988.09</v>
      </c>
      <c r="AH72" s="44">
        <v>988.09</v>
      </c>
      <c r="AI72" s="1">
        <f t="shared" si="107"/>
        <v>14011.91</v>
      </c>
      <c r="AJ72" s="1"/>
      <c r="AK72" s="1">
        <f t="shared" ref="AK72:AK103" si="110">AI72*$BF$10-$BG$10</f>
        <v>2297.7294019999999</v>
      </c>
      <c r="AL72" s="171">
        <f t="shared" si="98"/>
        <v>0.15318196013333332</v>
      </c>
      <c r="AM72" s="35">
        <f t="shared" si="21"/>
        <v>11714.180597999999</v>
      </c>
      <c r="AN72" s="1"/>
      <c r="AO72" s="40">
        <v>988.09</v>
      </c>
      <c r="AP72" s="163">
        <v>2932</v>
      </c>
      <c r="AQ72" s="1">
        <f t="shared" si="43"/>
        <v>12068</v>
      </c>
      <c r="AR72" s="1">
        <f t="shared" si="102"/>
        <v>1492.294260443912</v>
      </c>
      <c r="AS72" s="171">
        <f t="shared" si="32"/>
        <v>9.9486284029594127E-2</v>
      </c>
      <c r="AT72" s="35">
        <f t="shared" si="67"/>
        <v>12519.615739556088</v>
      </c>
      <c r="AU72" s="1"/>
      <c r="AV72" s="40">
        <v>988.09</v>
      </c>
      <c r="AW72" s="163">
        <v>2932</v>
      </c>
      <c r="AX72" s="1">
        <f t="shared" si="69"/>
        <v>12068</v>
      </c>
      <c r="AY72" s="1">
        <f t="shared" si="101"/>
        <v>1492.294260443912</v>
      </c>
      <c r="AZ72" s="171">
        <f t="shared" si="71"/>
        <v>9.9486284029594127E-2</v>
      </c>
      <c r="BA72" s="35">
        <f t="shared" si="72"/>
        <v>12519.615739556088</v>
      </c>
      <c r="BB72" s="1"/>
    </row>
    <row r="73" spans="7:54" x14ac:dyDescent="0.25">
      <c r="I73" s="9">
        <v>16210</v>
      </c>
      <c r="J73" s="1"/>
      <c r="K73" s="165">
        <v>951.63</v>
      </c>
      <c r="L73" s="44">
        <v>951.63</v>
      </c>
      <c r="M73" s="1"/>
      <c r="N73" s="1"/>
      <c r="O73" s="43"/>
      <c r="P73" s="35"/>
      <c r="Q73" s="1"/>
      <c r="R73" s="165">
        <v>951.63</v>
      </c>
      <c r="S73" s="44">
        <v>951.63</v>
      </c>
      <c r="T73" s="1"/>
      <c r="U73" s="1"/>
      <c r="V73" s="43"/>
      <c r="W73" s="35"/>
      <c r="X73" s="1"/>
      <c r="Y73" s="269">
        <v>988.09</v>
      </c>
      <c r="Z73" s="266">
        <v>988.09</v>
      </c>
      <c r="AA73" s="252">
        <f t="shared" ref="AA73" si="111">$I73-Z73</f>
        <v>15221.91</v>
      </c>
      <c r="AB73" s="268"/>
      <c r="AC73" s="252">
        <f t="shared" ref="AC73" si="112">AA73*$E$22-$F$22</f>
        <v>3277.2952500000006</v>
      </c>
      <c r="AD73" s="262">
        <f t="shared" ref="AD73" si="113">AC73/$I73</f>
        <v>0.20217737507711292</v>
      </c>
      <c r="AE73" s="255">
        <f t="shared" ref="AE73" si="114">$I73-Y73-AC73</f>
        <v>11944.614749999999</v>
      </c>
      <c r="AF73" s="1"/>
      <c r="AG73" s="165">
        <v>988.09</v>
      </c>
      <c r="AH73" s="44">
        <v>988.09</v>
      </c>
      <c r="AI73" s="1">
        <f t="shared" si="107"/>
        <v>15221.91</v>
      </c>
      <c r="AJ73" s="1"/>
      <c r="AK73" s="1">
        <f t="shared" si="110"/>
        <v>2630.4794020000004</v>
      </c>
      <c r="AL73" s="171">
        <f t="shared" si="98"/>
        <v>0.16227510191239977</v>
      </c>
      <c r="AM73" s="35">
        <f t="shared" si="21"/>
        <v>12591.430597999999</v>
      </c>
      <c r="AN73" s="1"/>
      <c r="AO73" s="40">
        <v>988.09</v>
      </c>
      <c r="AP73" s="163">
        <v>2932</v>
      </c>
      <c r="AQ73" s="1">
        <f t="shared" ref="AQ73" si="115">$I73-AP73</f>
        <v>13278</v>
      </c>
      <c r="AR73" s="1">
        <f t="shared" si="102"/>
        <v>1825.044260443912</v>
      </c>
      <c r="AS73" s="171">
        <f t="shared" ref="AS73" si="116">AR73/$I73</f>
        <v>0.1125875546233135</v>
      </c>
      <c r="AT73" s="35">
        <f t="shared" ref="AT73:AT98" si="117">$I73-AO73-AR73</f>
        <v>13396.865739556088</v>
      </c>
      <c r="AU73" s="1"/>
      <c r="AV73" s="40">
        <v>988.09</v>
      </c>
      <c r="AW73" s="163">
        <v>2932</v>
      </c>
      <c r="AX73" s="1">
        <f t="shared" si="69"/>
        <v>13278</v>
      </c>
      <c r="AY73" s="1">
        <f t="shared" si="101"/>
        <v>1825.044260443912</v>
      </c>
      <c r="AZ73" s="171">
        <f t="shared" si="71"/>
        <v>0.1125875546233135</v>
      </c>
      <c r="BA73" s="35">
        <f t="shared" si="72"/>
        <v>13396.865739556088</v>
      </c>
      <c r="BB73" s="1"/>
    </row>
    <row r="74" spans="7:54" x14ac:dyDescent="0.25">
      <c r="I74" s="3">
        <v>20000</v>
      </c>
      <c r="J74" s="1"/>
      <c r="K74" s="165">
        <v>951.63</v>
      </c>
      <c r="L74" s="44">
        <v>951.63</v>
      </c>
      <c r="M74" s="1">
        <f t="shared" si="45"/>
        <v>19048.37</v>
      </c>
      <c r="N74" s="1">
        <f t="shared" si="40"/>
        <v>4342.3017500000005</v>
      </c>
      <c r="O74" s="43">
        <f t="shared" si="9"/>
        <v>0.21711508750000003</v>
      </c>
      <c r="P74" s="35">
        <f t="shared" si="96"/>
        <v>14706.068249999998</v>
      </c>
      <c r="Q74" s="1"/>
      <c r="R74" s="165">
        <v>951.63</v>
      </c>
      <c r="S74" s="44">
        <v>951.63</v>
      </c>
      <c r="T74" s="1">
        <f t="shared" si="46"/>
        <v>19048.37</v>
      </c>
      <c r="U74" s="1">
        <f t="shared" si="41"/>
        <v>4329.571750000001</v>
      </c>
      <c r="V74" s="43">
        <f t="shared" si="11"/>
        <v>0.21647858750000004</v>
      </c>
      <c r="W74" s="35">
        <f t="shared" si="12"/>
        <v>14718.798249999998</v>
      </c>
      <c r="X74" s="1"/>
      <c r="Y74" s="269">
        <v>988.09</v>
      </c>
      <c r="Z74" s="266">
        <v>988.09</v>
      </c>
      <c r="AA74" s="252">
        <f t="shared" si="47"/>
        <v>19011.91</v>
      </c>
      <c r="AB74" s="268"/>
      <c r="AC74" s="252">
        <f t="shared" si="79"/>
        <v>4319.545250000001</v>
      </c>
      <c r="AD74" s="262">
        <f t="shared" si="29"/>
        <v>0.21597726250000004</v>
      </c>
      <c r="AE74" s="255">
        <f t="shared" si="20"/>
        <v>14692.364749999999</v>
      </c>
      <c r="AF74" s="1"/>
      <c r="AG74" s="165">
        <v>988.09</v>
      </c>
      <c r="AH74" s="44">
        <v>988.09</v>
      </c>
      <c r="AI74" s="1">
        <f t="shared" si="107"/>
        <v>19011.91</v>
      </c>
      <c r="AJ74" s="1"/>
      <c r="AK74" s="1">
        <f t="shared" si="110"/>
        <v>3672.7294020000004</v>
      </c>
      <c r="AL74" s="171">
        <f t="shared" si="98"/>
        <v>0.18363647010000003</v>
      </c>
      <c r="AM74" s="35">
        <f t="shared" si="21"/>
        <v>15339.180597999999</v>
      </c>
      <c r="AN74" s="1"/>
      <c r="AO74" s="40">
        <v>988.09</v>
      </c>
      <c r="AP74" s="163">
        <v>2932</v>
      </c>
      <c r="AQ74" s="1">
        <f t="shared" si="43"/>
        <v>17068</v>
      </c>
      <c r="AR74" s="1">
        <f t="shared" si="102"/>
        <v>2867.2942604439122</v>
      </c>
      <c r="AS74" s="171">
        <f t="shared" si="32"/>
        <v>0.14336471302219561</v>
      </c>
      <c r="AT74" s="35">
        <f t="shared" si="117"/>
        <v>16144.615739556088</v>
      </c>
      <c r="AU74" s="1"/>
      <c r="AV74" s="40">
        <v>988.09</v>
      </c>
      <c r="AW74" s="163">
        <v>2932</v>
      </c>
      <c r="AX74" s="1">
        <f t="shared" si="69"/>
        <v>17068</v>
      </c>
      <c r="AY74" s="1">
        <f t="shared" si="101"/>
        <v>2867.2942604439122</v>
      </c>
      <c r="AZ74" s="171">
        <f t="shared" si="71"/>
        <v>0.14336471302219561</v>
      </c>
      <c r="BA74" s="35">
        <f t="shared" si="72"/>
        <v>16144.615739556088</v>
      </c>
      <c r="BB74" s="1"/>
    </row>
    <row r="75" spans="7:54" x14ac:dyDescent="0.25">
      <c r="G75" s="8"/>
      <c r="I75" s="3">
        <v>22000</v>
      </c>
      <c r="J75" s="1"/>
      <c r="K75" s="165">
        <v>951.63</v>
      </c>
      <c r="L75" s="44">
        <v>951.63</v>
      </c>
      <c r="M75" s="1">
        <f t="shared" si="45"/>
        <v>21048.37</v>
      </c>
      <c r="N75" s="1">
        <f t="shared" si="40"/>
        <v>4892.3017500000005</v>
      </c>
      <c r="O75" s="43">
        <f t="shared" si="9"/>
        <v>0.22237735227272729</v>
      </c>
      <c r="P75" s="35">
        <f t="shared" si="96"/>
        <v>16156.068249999998</v>
      </c>
      <c r="Q75" s="1"/>
      <c r="R75" s="165">
        <v>951.63</v>
      </c>
      <c r="S75" s="44">
        <v>951.63</v>
      </c>
      <c r="T75" s="1">
        <f t="shared" si="46"/>
        <v>21048.37</v>
      </c>
      <c r="U75" s="1">
        <f t="shared" si="41"/>
        <v>4879.571750000001</v>
      </c>
      <c r="V75" s="43">
        <f t="shared" si="11"/>
        <v>0.22179871590909095</v>
      </c>
      <c r="W75" s="35">
        <f t="shared" si="12"/>
        <v>16168.798249999998</v>
      </c>
      <c r="X75" s="1"/>
      <c r="Y75" s="269">
        <v>988.09</v>
      </c>
      <c r="Z75" s="266">
        <v>988.09</v>
      </c>
      <c r="AA75" s="252">
        <f t="shared" si="47"/>
        <v>21011.91</v>
      </c>
      <c r="AB75" s="268"/>
      <c r="AC75" s="252">
        <f t="shared" si="79"/>
        <v>4869.545250000001</v>
      </c>
      <c r="AD75" s="262">
        <f t="shared" si="29"/>
        <v>0.22134296590909094</v>
      </c>
      <c r="AE75" s="255">
        <f t="shared" si="20"/>
        <v>16142.364749999999</v>
      </c>
      <c r="AF75" s="1"/>
      <c r="AG75" s="165">
        <v>988.09</v>
      </c>
      <c r="AH75" s="44">
        <v>988.09</v>
      </c>
      <c r="AI75" s="1">
        <f t="shared" si="107"/>
        <v>21011.91</v>
      </c>
      <c r="AJ75" s="1"/>
      <c r="AK75" s="1">
        <f t="shared" si="110"/>
        <v>4222.7294020000008</v>
      </c>
      <c r="AL75" s="171">
        <f t="shared" si="98"/>
        <v>0.19194224554545458</v>
      </c>
      <c r="AM75" s="35">
        <f t="shared" si="21"/>
        <v>16789.180597999999</v>
      </c>
      <c r="AN75" s="1"/>
      <c r="AO75" s="40">
        <v>988.09</v>
      </c>
      <c r="AP75" s="163">
        <v>2932</v>
      </c>
      <c r="AQ75" s="1">
        <f t="shared" si="43"/>
        <v>19068</v>
      </c>
      <c r="AR75" s="1">
        <f t="shared" si="102"/>
        <v>3417.2942604439122</v>
      </c>
      <c r="AS75" s="171">
        <f t="shared" si="32"/>
        <v>0.1553315572929051</v>
      </c>
      <c r="AT75" s="35">
        <f t="shared" si="117"/>
        <v>17594.615739556088</v>
      </c>
      <c r="AU75" s="1"/>
      <c r="AV75" s="40">
        <v>988.09</v>
      </c>
      <c r="AW75" s="163">
        <v>2932</v>
      </c>
      <c r="AX75" s="1">
        <f t="shared" si="69"/>
        <v>19068</v>
      </c>
      <c r="AY75" s="1">
        <f t="shared" si="101"/>
        <v>3417.2942604439122</v>
      </c>
      <c r="AZ75" s="171">
        <f t="shared" si="71"/>
        <v>0.1553315572929051</v>
      </c>
      <c r="BA75" s="35">
        <f t="shared" si="72"/>
        <v>17594.615739556088</v>
      </c>
      <c r="BB75" s="1"/>
    </row>
    <row r="76" spans="7:54" x14ac:dyDescent="0.25">
      <c r="G76" s="8"/>
      <c r="I76" s="3">
        <v>24000</v>
      </c>
      <c r="J76" s="1"/>
      <c r="K76" s="165">
        <v>951.63</v>
      </c>
      <c r="L76" s="44">
        <v>951.63</v>
      </c>
      <c r="M76" s="1">
        <f t="shared" si="45"/>
        <v>23048.37</v>
      </c>
      <c r="N76" s="1">
        <f t="shared" si="40"/>
        <v>5442.3017500000005</v>
      </c>
      <c r="O76" s="43">
        <f t="shared" si="9"/>
        <v>0.22676257291666668</v>
      </c>
      <c r="P76" s="35">
        <f t="shared" si="96"/>
        <v>17606.068249999997</v>
      </c>
      <c r="Q76" s="1"/>
      <c r="R76" s="165">
        <v>951.63</v>
      </c>
      <c r="S76" s="44">
        <v>951.63</v>
      </c>
      <c r="T76" s="1">
        <f t="shared" si="46"/>
        <v>23048.37</v>
      </c>
      <c r="U76" s="1">
        <f t="shared" si="41"/>
        <v>5429.571750000001</v>
      </c>
      <c r="V76" s="43">
        <f t="shared" si="11"/>
        <v>0.22623215625000004</v>
      </c>
      <c r="W76" s="35">
        <f t="shared" si="12"/>
        <v>17618.79825</v>
      </c>
      <c r="X76" s="1"/>
      <c r="Y76" s="269">
        <v>988.09</v>
      </c>
      <c r="Z76" s="266">
        <v>988.09</v>
      </c>
      <c r="AA76" s="252">
        <f t="shared" si="47"/>
        <v>23011.91</v>
      </c>
      <c r="AB76" s="268"/>
      <c r="AC76" s="252">
        <f t="shared" si="79"/>
        <v>5419.545250000001</v>
      </c>
      <c r="AD76" s="262">
        <f t="shared" si="29"/>
        <v>0.22581438541666671</v>
      </c>
      <c r="AE76" s="255">
        <f t="shared" si="20"/>
        <v>17592.364750000001</v>
      </c>
      <c r="AF76" s="1"/>
      <c r="AG76" s="165">
        <v>988.09</v>
      </c>
      <c r="AH76" s="44">
        <v>988.09</v>
      </c>
      <c r="AI76" s="1">
        <f t="shared" si="107"/>
        <v>23011.91</v>
      </c>
      <c r="AJ76" s="1"/>
      <c r="AK76" s="1">
        <f t="shared" si="110"/>
        <v>4772.7294020000008</v>
      </c>
      <c r="AL76" s="171">
        <f t="shared" si="98"/>
        <v>0.19886372508333336</v>
      </c>
      <c r="AM76" s="35">
        <f t="shared" si="21"/>
        <v>18239.180597999999</v>
      </c>
      <c r="AN76" s="1"/>
      <c r="AO76" s="40">
        <v>988.09</v>
      </c>
      <c r="AP76" s="163">
        <v>2932</v>
      </c>
      <c r="AQ76" s="1">
        <f t="shared" si="43"/>
        <v>21068</v>
      </c>
      <c r="AR76" s="1">
        <f t="shared" si="102"/>
        <v>3967.2942604439122</v>
      </c>
      <c r="AS76" s="171">
        <f t="shared" si="32"/>
        <v>0.16530392751849635</v>
      </c>
      <c r="AT76" s="35">
        <f t="shared" si="117"/>
        <v>19044.615739556088</v>
      </c>
      <c r="AU76" s="1"/>
      <c r="AV76" s="40">
        <v>988.09</v>
      </c>
      <c r="AW76" s="163">
        <v>2932</v>
      </c>
      <c r="AX76" s="1">
        <f t="shared" si="69"/>
        <v>21068</v>
      </c>
      <c r="AY76" s="1">
        <f t="shared" si="101"/>
        <v>3967.2942604439122</v>
      </c>
      <c r="AZ76" s="171">
        <f t="shared" si="71"/>
        <v>0.16530392751849635</v>
      </c>
      <c r="BA76" s="35">
        <f t="shared" si="72"/>
        <v>19044.615739556088</v>
      </c>
      <c r="BB76" s="1"/>
    </row>
    <row r="77" spans="7:54" x14ac:dyDescent="0.25">
      <c r="H77" s="11"/>
      <c r="I77" s="3">
        <v>25000</v>
      </c>
      <c r="J77" s="1"/>
      <c r="K77" s="165">
        <v>951.63</v>
      </c>
      <c r="L77" s="44">
        <v>951.63</v>
      </c>
      <c r="M77" s="1">
        <f t="shared" si="45"/>
        <v>24048.37</v>
      </c>
      <c r="N77" s="1">
        <f t="shared" si="40"/>
        <v>5717.3017500000005</v>
      </c>
      <c r="O77" s="43">
        <f t="shared" si="9"/>
        <v>0.22869207000000003</v>
      </c>
      <c r="P77" s="35">
        <f t="shared" si="96"/>
        <v>18331.068249999997</v>
      </c>
      <c r="Q77" s="1"/>
      <c r="R77" s="165">
        <v>951.63</v>
      </c>
      <c r="S77" s="44">
        <v>951.63</v>
      </c>
      <c r="T77" s="1">
        <f t="shared" si="46"/>
        <v>24048.37</v>
      </c>
      <c r="U77" s="1">
        <f t="shared" si="41"/>
        <v>5704.571750000001</v>
      </c>
      <c r="V77" s="43">
        <f t="shared" si="11"/>
        <v>0.22818287000000004</v>
      </c>
      <c r="W77" s="35">
        <f t="shared" si="12"/>
        <v>18343.79825</v>
      </c>
      <c r="X77" s="1"/>
      <c r="Y77" s="269">
        <v>988.09</v>
      </c>
      <c r="Z77" s="266">
        <v>988.09</v>
      </c>
      <c r="AA77" s="252">
        <f t="shared" si="47"/>
        <v>24011.91</v>
      </c>
      <c r="AB77" s="268"/>
      <c r="AC77" s="252">
        <f t="shared" si="79"/>
        <v>5694.545250000001</v>
      </c>
      <c r="AD77" s="262">
        <f t="shared" si="29"/>
        <v>0.22778181000000003</v>
      </c>
      <c r="AE77" s="255">
        <f t="shared" si="20"/>
        <v>18317.364750000001</v>
      </c>
      <c r="AF77" s="1"/>
      <c r="AG77" s="165">
        <v>988.09</v>
      </c>
      <c r="AH77" s="44">
        <v>988.09</v>
      </c>
      <c r="AI77" s="1">
        <f t="shared" si="107"/>
        <v>24011.91</v>
      </c>
      <c r="AJ77" s="1"/>
      <c r="AK77" s="1">
        <f t="shared" si="110"/>
        <v>5047.7294020000008</v>
      </c>
      <c r="AL77" s="171">
        <f t="shared" si="98"/>
        <v>0.20190917608000003</v>
      </c>
      <c r="AM77" s="35">
        <f t="shared" si="21"/>
        <v>18964.180597999999</v>
      </c>
      <c r="AN77" s="1"/>
      <c r="AO77" s="40">
        <v>988.09</v>
      </c>
      <c r="AP77" s="163">
        <v>2932</v>
      </c>
      <c r="AQ77" s="1">
        <f t="shared" si="43"/>
        <v>22068</v>
      </c>
      <c r="AR77" s="1">
        <f t="shared" si="102"/>
        <v>4242.2942604439122</v>
      </c>
      <c r="AS77" s="171">
        <f t="shared" si="32"/>
        <v>0.16969177041775649</v>
      </c>
      <c r="AT77" s="35">
        <f t="shared" si="117"/>
        <v>19769.615739556088</v>
      </c>
      <c r="AU77" s="1"/>
      <c r="AV77" s="40">
        <v>988.09</v>
      </c>
      <c r="AW77" s="163">
        <v>2932</v>
      </c>
      <c r="AX77" s="1">
        <f t="shared" si="69"/>
        <v>22068</v>
      </c>
      <c r="AY77" s="1">
        <f t="shared" si="101"/>
        <v>4242.2942604439122</v>
      </c>
      <c r="AZ77" s="171">
        <f t="shared" si="71"/>
        <v>0.16969177041775649</v>
      </c>
      <c r="BA77" s="35">
        <f t="shared" si="72"/>
        <v>19769.615739556088</v>
      </c>
      <c r="BB77" s="1"/>
    </row>
    <row r="78" spans="7:54" x14ac:dyDescent="0.25">
      <c r="I78" s="3">
        <v>30000</v>
      </c>
      <c r="J78" s="1"/>
      <c r="K78" s="165">
        <v>951.63</v>
      </c>
      <c r="L78" s="44">
        <v>951.63</v>
      </c>
      <c r="M78" s="1">
        <f t="shared" si="45"/>
        <v>29048.37</v>
      </c>
      <c r="N78" s="1">
        <f t="shared" si="40"/>
        <v>7092.3017500000005</v>
      </c>
      <c r="O78" s="43">
        <f t="shared" si="9"/>
        <v>0.23641005833333334</v>
      </c>
      <c r="P78" s="35">
        <f t="shared" si="96"/>
        <v>21956.068249999997</v>
      </c>
      <c r="Q78" s="1"/>
      <c r="R78" s="165">
        <v>951.63</v>
      </c>
      <c r="S78" s="44">
        <v>951.63</v>
      </c>
      <c r="T78" s="1">
        <f t="shared" si="46"/>
        <v>29048.37</v>
      </c>
      <c r="U78" s="1">
        <f t="shared" si="41"/>
        <v>7079.571750000001</v>
      </c>
      <c r="V78" s="43">
        <f t="shared" si="11"/>
        <v>0.23598572500000004</v>
      </c>
      <c r="W78" s="35">
        <f t="shared" si="12"/>
        <v>21968.79825</v>
      </c>
      <c r="X78" s="1"/>
      <c r="Y78" s="269">
        <v>988.09</v>
      </c>
      <c r="Z78" s="266">
        <v>988.09</v>
      </c>
      <c r="AA78" s="252">
        <f t="shared" si="47"/>
        <v>29011.91</v>
      </c>
      <c r="AB78" s="268"/>
      <c r="AC78" s="252">
        <f t="shared" si="79"/>
        <v>7069.545250000001</v>
      </c>
      <c r="AD78" s="262">
        <f t="shared" si="29"/>
        <v>0.23565150833333337</v>
      </c>
      <c r="AE78" s="255">
        <f t="shared" si="20"/>
        <v>21942.364750000001</v>
      </c>
      <c r="AF78" s="1"/>
      <c r="AG78" s="165">
        <v>988.09</v>
      </c>
      <c r="AH78" s="44">
        <v>988.09</v>
      </c>
      <c r="AI78" s="1">
        <f t="shared" si="107"/>
        <v>29011.91</v>
      </c>
      <c r="AJ78" s="1"/>
      <c r="AK78" s="1">
        <f t="shared" si="110"/>
        <v>6422.7294020000008</v>
      </c>
      <c r="AL78" s="171">
        <f t="shared" si="98"/>
        <v>0.21409098006666669</v>
      </c>
      <c r="AM78" s="35">
        <f t="shared" si="21"/>
        <v>22589.180597999999</v>
      </c>
      <c r="AN78" s="1"/>
      <c r="AO78" s="40">
        <v>988.09</v>
      </c>
      <c r="AP78" s="163">
        <v>2932</v>
      </c>
      <c r="AQ78" s="1">
        <f t="shared" si="43"/>
        <v>27068</v>
      </c>
      <c r="AR78" s="1">
        <f t="shared" si="102"/>
        <v>5617.2942604439122</v>
      </c>
      <c r="AS78" s="171">
        <f t="shared" si="32"/>
        <v>0.18724314201479708</v>
      </c>
      <c r="AT78" s="35">
        <f t="shared" si="117"/>
        <v>23394.615739556088</v>
      </c>
      <c r="AU78" s="1"/>
      <c r="AV78" s="40">
        <v>988.09</v>
      </c>
      <c r="AW78" s="163">
        <v>2932</v>
      </c>
      <c r="AX78" s="1">
        <f t="shared" si="69"/>
        <v>27068</v>
      </c>
      <c r="AY78" s="1">
        <f t="shared" si="101"/>
        <v>5617.2942604439122</v>
      </c>
      <c r="AZ78" s="171">
        <f t="shared" si="71"/>
        <v>0.18724314201479708</v>
      </c>
      <c r="BA78" s="35">
        <f t="shared" si="72"/>
        <v>23394.615739556088</v>
      </c>
      <c r="BB78" s="1"/>
    </row>
    <row r="79" spans="7:54" x14ac:dyDescent="0.25">
      <c r="I79" s="9">
        <v>32420</v>
      </c>
      <c r="J79" s="1"/>
      <c r="K79" s="165">
        <v>951.63</v>
      </c>
      <c r="L79" s="44">
        <v>951.63</v>
      </c>
      <c r="M79" s="1"/>
      <c r="N79" s="1"/>
      <c r="O79" s="43"/>
      <c r="P79" s="35"/>
      <c r="Q79" s="1"/>
      <c r="R79" s="165">
        <v>951.63</v>
      </c>
      <c r="S79" s="44">
        <v>951.63</v>
      </c>
      <c r="T79" s="1"/>
      <c r="U79" s="1"/>
      <c r="V79" s="43"/>
      <c r="W79" s="35"/>
      <c r="X79" s="1"/>
      <c r="Y79" s="269">
        <v>988.09</v>
      </c>
      <c r="Z79" s="266">
        <v>988.09</v>
      </c>
      <c r="AA79" s="252">
        <f t="shared" ref="AA79" si="118">$I79-Z79</f>
        <v>31431.91</v>
      </c>
      <c r="AB79" s="268"/>
      <c r="AC79" s="252">
        <f t="shared" ref="AC79" si="119">AA79*$E$22-$F$22</f>
        <v>7735.045250000001</v>
      </c>
      <c r="AD79" s="262">
        <f t="shared" ref="AD79" si="120">AC79/$I79</f>
        <v>0.23858868753855647</v>
      </c>
      <c r="AE79" s="255">
        <f t="shared" ref="AE79" si="121">$I79-Y79-AC79</f>
        <v>23696.864750000001</v>
      </c>
      <c r="AF79" s="1"/>
      <c r="AG79" s="165">
        <v>988.09</v>
      </c>
      <c r="AH79" s="44">
        <v>988.09</v>
      </c>
      <c r="AI79" s="1">
        <f t="shared" si="107"/>
        <v>31431.91</v>
      </c>
      <c r="AJ79" s="1"/>
      <c r="AK79" s="1">
        <f t="shared" si="110"/>
        <v>7088.2294020000008</v>
      </c>
      <c r="AL79" s="171">
        <f t="shared" si="98"/>
        <v>0.21863755095619991</v>
      </c>
      <c r="AM79" s="35">
        <f t="shared" si="21"/>
        <v>24343.680597999999</v>
      </c>
      <c r="AN79" s="1"/>
      <c r="AO79" s="40">
        <v>988.09</v>
      </c>
      <c r="AP79" s="163">
        <v>2932</v>
      </c>
      <c r="AQ79" s="1">
        <f t="shared" ref="AQ79" si="122">$I79-AP79</f>
        <v>29488</v>
      </c>
      <c r="AR79" s="1">
        <f t="shared" si="102"/>
        <v>6282.7942604439122</v>
      </c>
      <c r="AS79" s="171">
        <f t="shared" ref="AS79" si="123">AR79/$I79</f>
        <v>0.19379377731165676</v>
      </c>
      <c r="AT79" s="35">
        <f t="shared" si="117"/>
        <v>25149.115739556088</v>
      </c>
      <c r="AU79" s="1"/>
      <c r="AV79" s="40">
        <v>988.09</v>
      </c>
      <c r="AW79" s="163">
        <v>2932</v>
      </c>
      <c r="AX79" s="1">
        <f t="shared" si="69"/>
        <v>29488</v>
      </c>
      <c r="AY79" s="1">
        <f t="shared" si="101"/>
        <v>6282.7942604439122</v>
      </c>
      <c r="AZ79" s="171">
        <f t="shared" si="71"/>
        <v>0.19379377731165676</v>
      </c>
      <c r="BA79" s="35">
        <f t="shared" si="72"/>
        <v>25149.115739556088</v>
      </c>
      <c r="BB79" s="1"/>
    </row>
    <row r="80" spans="7:54" x14ac:dyDescent="0.25">
      <c r="I80" s="3">
        <v>35000</v>
      </c>
      <c r="J80" s="1"/>
      <c r="K80" s="165">
        <v>951.63</v>
      </c>
      <c r="L80" s="44">
        <v>951.63</v>
      </c>
      <c r="M80" s="1">
        <f t="shared" si="45"/>
        <v>34048.370000000003</v>
      </c>
      <c r="N80" s="1">
        <f t="shared" si="40"/>
        <v>8467.3017500000024</v>
      </c>
      <c r="O80" s="43">
        <f t="shared" si="9"/>
        <v>0.24192290714285722</v>
      </c>
      <c r="P80" s="35">
        <f t="shared" si="96"/>
        <v>25581.06825</v>
      </c>
      <c r="Q80" s="1"/>
      <c r="R80" s="165">
        <v>951.63</v>
      </c>
      <c r="S80" s="44">
        <v>951.63</v>
      </c>
      <c r="T80" s="1">
        <f t="shared" si="46"/>
        <v>34048.370000000003</v>
      </c>
      <c r="U80" s="1">
        <f t="shared" si="41"/>
        <v>8454.5717500000028</v>
      </c>
      <c r="V80" s="43">
        <f t="shared" si="11"/>
        <v>0.24155919285714295</v>
      </c>
      <c r="W80" s="35">
        <f t="shared" si="12"/>
        <v>25593.79825</v>
      </c>
      <c r="X80" s="1"/>
      <c r="Y80" s="269">
        <v>988.09</v>
      </c>
      <c r="Z80" s="266">
        <v>988.09</v>
      </c>
      <c r="AA80" s="252">
        <f t="shared" si="47"/>
        <v>34011.910000000003</v>
      </c>
      <c r="AB80" s="268"/>
      <c r="AC80" s="252">
        <f t="shared" si="79"/>
        <v>8444.5452500000029</v>
      </c>
      <c r="AD80" s="262">
        <f t="shared" si="29"/>
        <v>0.24127272142857151</v>
      </c>
      <c r="AE80" s="255">
        <f t="shared" si="20"/>
        <v>25567.364750000001</v>
      </c>
      <c r="AF80" s="1"/>
      <c r="AG80" s="165">
        <v>988.09</v>
      </c>
      <c r="AH80" s="44">
        <v>988.09</v>
      </c>
      <c r="AI80" s="1">
        <f t="shared" si="107"/>
        <v>34011.910000000003</v>
      </c>
      <c r="AJ80" s="1"/>
      <c r="AK80" s="1">
        <f t="shared" si="110"/>
        <v>7797.7294020000027</v>
      </c>
      <c r="AL80" s="171">
        <f t="shared" si="98"/>
        <v>0.22279226862857152</v>
      </c>
      <c r="AM80" s="35">
        <f t="shared" si="21"/>
        <v>26214.180597999999</v>
      </c>
      <c r="AN80" s="1"/>
      <c r="AO80" s="40">
        <v>988.09</v>
      </c>
      <c r="AP80" s="163">
        <v>2932</v>
      </c>
      <c r="AQ80" s="1">
        <f t="shared" si="43"/>
        <v>32068</v>
      </c>
      <c r="AR80" s="1">
        <f t="shared" si="102"/>
        <v>6992.2942604439122</v>
      </c>
      <c r="AS80" s="171">
        <f t="shared" si="32"/>
        <v>0.1997798360126832</v>
      </c>
      <c r="AT80" s="35">
        <f t="shared" si="117"/>
        <v>27019.615739556091</v>
      </c>
      <c r="AU80" s="1"/>
      <c r="AV80" s="40">
        <v>988.09</v>
      </c>
      <c r="AW80" s="163">
        <v>2932</v>
      </c>
      <c r="AX80" s="1">
        <f t="shared" si="69"/>
        <v>32068</v>
      </c>
      <c r="AY80" s="1">
        <f t="shared" si="101"/>
        <v>6992.2942604439122</v>
      </c>
      <c r="AZ80" s="171">
        <f t="shared" si="71"/>
        <v>0.1997798360126832</v>
      </c>
      <c r="BA80" s="35">
        <f t="shared" si="72"/>
        <v>27019.615739556091</v>
      </c>
      <c r="BB80" s="1"/>
    </row>
    <row r="81" spans="6:54" x14ac:dyDescent="0.25">
      <c r="I81" s="3">
        <v>40000</v>
      </c>
      <c r="J81" s="1"/>
      <c r="K81" s="165">
        <v>951.63</v>
      </c>
      <c r="L81" s="44">
        <v>951.63</v>
      </c>
      <c r="M81" s="1">
        <f t="shared" si="45"/>
        <v>39048.370000000003</v>
      </c>
      <c r="N81" s="1">
        <f t="shared" si="40"/>
        <v>9842.3017500000024</v>
      </c>
      <c r="O81" s="43">
        <f t="shared" si="9"/>
        <v>0.24605754375000005</v>
      </c>
      <c r="P81" s="35">
        <f t="shared" si="96"/>
        <v>29206.06825</v>
      </c>
      <c r="Q81" s="1"/>
      <c r="R81" s="165">
        <v>951.63</v>
      </c>
      <c r="S81" s="44">
        <v>951.63</v>
      </c>
      <c r="T81" s="1">
        <f t="shared" si="46"/>
        <v>39048.370000000003</v>
      </c>
      <c r="U81" s="1">
        <f t="shared" si="41"/>
        <v>9829.5717500000028</v>
      </c>
      <c r="V81" s="43">
        <f t="shared" si="11"/>
        <v>0.24573929375000006</v>
      </c>
      <c r="W81" s="35">
        <f t="shared" si="12"/>
        <v>29218.79825</v>
      </c>
      <c r="X81" s="1"/>
      <c r="Y81" s="269">
        <v>988.09</v>
      </c>
      <c r="Z81" s="266">
        <v>988.09</v>
      </c>
      <c r="AA81" s="252">
        <f t="shared" si="47"/>
        <v>39011.910000000003</v>
      </c>
      <c r="AB81" s="268"/>
      <c r="AC81" s="252">
        <f t="shared" si="79"/>
        <v>9819.5452500000029</v>
      </c>
      <c r="AD81" s="262">
        <f t="shared" si="29"/>
        <v>0.24548863125000006</v>
      </c>
      <c r="AE81" s="255">
        <f t="shared" si="20"/>
        <v>29192.364750000001</v>
      </c>
      <c r="AF81" s="1"/>
      <c r="AG81" s="165">
        <v>988.09</v>
      </c>
      <c r="AH81" s="44">
        <v>988.09</v>
      </c>
      <c r="AI81" s="1">
        <f t="shared" si="107"/>
        <v>39011.910000000003</v>
      </c>
      <c r="AJ81" s="1"/>
      <c r="AK81" s="1">
        <f t="shared" si="110"/>
        <v>9172.7294020000027</v>
      </c>
      <c r="AL81" s="171">
        <f t="shared" si="98"/>
        <v>0.22931823505000007</v>
      </c>
      <c r="AM81" s="35">
        <f t="shared" si="21"/>
        <v>29839.180597999999</v>
      </c>
      <c r="AN81" s="1"/>
      <c r="AO81" s="40">
        <v>988.09</v>
      </c>
      <c r="AP81" s="163">
        <v>2932</v>
      </c>
      <c r="AQ81" s="1">
        <f t="shared" si="43"/>
        <v>37068</v>
      </c>
      <c r="AR81" s="1">
        <f t="shared" si="102"/>
        <v>8367.2942604439122</v>
      </c>
      <c r="AS81" s="171">
        <f t="shared" si="32"/>
        <v>0.20918235651109782</v>
      </c>
      <c r="AT81" s="35">
        <f t="shared" si="117"/>
        <v>30644.615739556091</v>
      </c>
      <c r="AU81" s="1"/>
      <c r="AV81" s="40">
        <v>988.09</v>
      </c>
      <c r="AW81" s="163">
        <v>2932</v>
      </c>
      <c r="AX81" s="1">
        <f t="shared" si="69"/>
        <v>37068</v>
      </c>
      <c r="AY81" s="1">
        <f t="shared" si="101"/>
        <v>8367.2942604439122</v>
      </c>
      <c r="AZ81" s="171">
        <f t="shared" si="71"/>
        <v>0.20918235651109782</v>
      </c>
      <c r="BA81" s="35">
        <f t="shared" si="72"/>
        <v>30644.615739556091</v>
      </c>
      <c r="BB81" s="1"/>
    </row>
    <row r="82" spans="6:54" ht="15.75" x14ac:dyDescent="0.25">
      <c r="G82" s="10" t="s">
        <v>16</v>
      </c>
      <c r="I82" s="3">
        <v>45000</v>
      </c>
      <c r="J82" s="1"/>
      <c r="K82" s="165">
        <v>951.63</v>
      </c>
      <c r="L82" s="44">
        <v>951.63</v>
      </c>
      <c r="M82" s="1">
        <f t="shared" si="45"/>
        <v>44048.37</v>
      </c>
      <c r="N82" s="1">
        <f t="shared" si="40"/>
        <v>11217.301750000002</v>
      </c>
      <c r="O82" s="43">
        <f t="shared" si="9"/>
        <v>0.24927337222222226</v>
      </c>
      <c r="P82" s="35">
        <f t="shared" si="96"/>
        <v>32831.068249999997</v>
      </c>
      <c r="Q82" s="1"/>
      <c r="R82" s="165">
        <v>951.63</v>
      </c>
      <c r="S82" s="44">
        <v>951.63</v>
      </c>
      <c r="T82" s="1">
        <f t="shared" si="46"/>
        <v>44048.37</v>
      </c>
      <c r="U82" s="1">
        <f t="shared" si="41"/>
        <v>11204.571750000003</v>
      </c>
      <c r="V82" s="43">
        <f t="shared" si="11"/>
        <v>0.2489904833333334</v>
      </c>
      <c r="W82" s="35">
        <f t="shared" si="12"/>
        <v>32843.79825</v>
      </c>
      <c r="X82" s="1"/>
      <c r="Y82" s="269">
        <v>988.09</v>
      </c>
      <c r="Z82" s="266">
        <v>988.09</v>
      </c>
      <c r="AA82" s="252">
        <f t="shared" si="47"/>
        <v>44011.91</v>
      </c>
      <c r="AB82" s="268"/>
      <c r="AC82" s="252">
        <f t="shared" si="79"/>
        <v>11194.545250000003</v>
      </c>
      <c r="AD82" s="262">
        <f t="shared" si="29"/>
        <v>0.24876767222222229</v>
      </c>
      <c r="AE82" s="255">
        <f t="shared" si="20"/>
        <v>32817.364750000001</v>
      </c>
      <c r="AF82" s="1"/>
      <c r="AG82" s="165">
        <v>988.09</v>
      </c>
      <c r="AH82" s="44">
        <v>988.09</v>
      </c>
      <c r="AI82" s="1">
        <f t="shared" si="107"/>
        <v>44011.91</v>
      </c>
      <c r="AJ82" s="1"/>
      <c r="AK82" s="1">
        <f t="shared" si="110"/>
        <v>10547.729402000003</v>
      </c>
      <c r="AL82" s="171">
        <f t="shared" si="98"/>
        <v>0.23439398671111117</v>
      </c>
      <c r="AM82" s="35">
        <f t="shared" si="21"/>
        <v>33464.180597999999</v>
      </c>
      <c r="AN82" s="1"/>
      <c r="AO82" s="40">
        <v>988.09</v>
      </c>
      <c r="AP82" s="163">
        <v>2932</v>
      </c>
      <c r="AQ82" s="1">
        <f t="shared" si="43"/>
        <v>42068</v>
      </c>
      <c r="AR82" s="1">
        <f t="shared" si="102"/>
        <v>9742.2942604439122</v>
      </c>
      <c r="AS82" s="171">
        <f t="shared" si="32"/>
        <v>0.21649542800986471</v>
      </c>
      <c r="AT82" s="35">
        <f t="shared" si="117"/>
        <v>34269.615739556088</v>
      </c>
      <c r="AU82" s="1"/>
      <c r="AV82" s="40">
        <v>988.09</v>
      </c>
      <c r="AW82" s="163">
        <v>2932</v>
      </c>
      <c r="AX82" s="1">
        <f t="shared" si="69"/>
        <v>42068</v>
      </c>
      <c r="AY82" s="1">
        <f t="shared" si="101"/>
        <v>9742.2942604439122</v>
      </c>
      <c r="AZ82" s="171">
        <f t="shared" si="71"/>
        <v>0.21649542800986471</v>
      </c>
      <c r="BA82" s="35">
        <f t="shared" si="72"/>
        <v>34269.615739556088</v>
      </c>
      <c r="BB82" s="1"/>
    </row>
    <row r="83" spans="6:54" x14ac:dyDescent="0.25">
      <c r="G83" s="12">
        <v>600000</v>
      </c>
      <c r="I83" s="7">
        <f>G83/12</f>
        <v>50000</v>
      </c>
      <c r="J83" s="1"/>
      <c r="K83" s="165">
        <v>951.63</v>
      </c>
      <c r="L83" s="44">
        <v>951.63</v>
      </c>
      <c r="M83" s="1">
        <f t="shared" si="45"/>
        <v>49048.37</v>
      </c>
      <c r="N83" s="1">
        <f t="shared" si="40"/>
        <v>12592.301750000002</v>
      </c>
      <c r="O83" s="43">
        <f t="shared" si="9"/>
        <v>0.25184603500000002</v>
      </c>
      <c r="P83" s="35">
        <f t="shared" si="96"/>
        <v>36456.068249999997</v>
      </c>
      <c r="Q83" s="1"/>
      <c r="R83" s="165">
        <v>951.63</v>
      </c>
      <c r="S83" s="44">
        <v>951.63</v>
      </c>
      <c r="T83" s="1">
        <f t="shared" si="46"/>
        <v>49048.37</v>
      </c>
      <c r="U83" s="1">
        <f t="shared" si="41"/>
        <v>12579.571750000003</v>
      </c>
      <c r="V83" s="43">
        <f t="shared" si="11"/>
        <v>0.25159143500000003</v>
      </c>
      <c r="W83" s="35">
        <f t="shared" si="12"/>
        <v>36468.79825</v>
      </c>
      <c r="X83" s="1"/>
      <c r="Y83" s="269">
        <v>988.09</v>
      </c>
      <c r="Z83" s="266">
        <v>988.09</v>
      </c>
      <c r="AA83" s="252">
        <f t="shared" si="47"/>
        <v>49011.91</v>
      </c>
      <c r="AB83" s="268"/>
      <c r="AC83" s="252">
        <f t="shared" si="79"/>
        <v>12569.545250000003</v>
      </c>
      <c r="AD83" s="262">
        <f t="shared" si="29"/>
        <v>0.25139090500000005</v>
      </c>
      <c r="AE83" s="255">
        <f t="shared" si="20"/>
        <v>36442.364750000001</v>
      </c>
      <c r="AF83" s="1"/>
      <c r="AG83" s="165">
        <v>988.09</v>
      </c>
      <c r="AH83" s="44">
        <v>988.09</v>
      </c>
      <c r="AI83" s="1">
        <f t="shared" si="107"/>
        <v>49011.91</v>
      </c>
      <c r="AJ83" s="1"/>
      <c r="AK83" s="1">
        <f t="shared" si="110"/>
        <v>11922.729402000003</v>
      </c>
      <c r="AL83" s="171">
        <f t="shared" si="98"/>
        <v>0.23845458804000005</v>
      </c>
      <c r="AM83" s="35">
        <f t="shared" si="21"/>
        <v>37089.180597999999</v>
      </c>
      <c r="AN83" s="1"/>
      <c r="AO83" s="40">
        <v>988.09</v>
      </c>
      <c r="AP83" s="163">
        <v>2932</v>
      </c>
      <c r="AQ83" s="1">
        <f t="shared" si="43"/>
        <v>47068</v>
      </c>
      <c r="AR83" s="1">
        <f t="shared" si="102"/>
        <v>11117.294260443912</v>
      </c>
      <c r="AS83" s="171">
        <f t="shared" si="32"/>
        <v>0.22234588520887824</v>
      </c>
      <c r="AT83" s="35">
        <f t="shared" si="117"/>
        <v>37894.615739556088</v>
      </c>
      <c r="AU83" s="1"/>
      <c r="AV83" s="40">
        <v>988.09</v>
      </c>
      <c r="AW83" s="163">
        <v>2932</v>
      </c>
      <c r="AX83" s="1">
        <f t="shared" si="69"/>
        <v>47068</v>
      </c>
      <c r="AY83" s="1">
        <f t="shared" si="101"/>
        <v>11117.294260443912</v>
      </c>
      <c r="AZ83" s="171">
        <f t="shared" si="71"/>
        <v>0.22234588520887824</v>
      </c>
      <c r="BA83" s="35">
        <f t="shared" si="72"/>
        <v>37894.615739556088</v>
      </c>
      <c r="BB83" s="1"/>
    </row>
    <row r="84" spans="6:54" x14ac:dyDescent="0.25">
      <c r="G84" s="12">
        <v>700000</v>
      </c>
      <c r="I84" s="7">
        <f>G84/12</f>
        <v>58333.333333333336</v>
      </c>
      <c r="J84" s="1"/>
      <c r="K84" s="165">
        <v>951.63</v>
      </c>
      <c r="L84" s="44">
        <v>951.63</v>
      </c>
      <c r="M84" s="1">
        <f t="shared" si="45"/>
        <v>57381.703333333338</v>
      </c>
      <c r="N84" s="1">
        <f t="shared" si="40"/>
        <v>14883.96841666667</v>
      </c>
      <c r="O84" s="43">
        <f t="shared" si="9"/>
        <v>0.25515374428571436</v>
      </c>
      <c r="P84" s="35">
        <f t="shared" si="96"/>
        <v>42497.734916666668</v>
      </c>
      <c r="Q84" s="1"/>
      <c r="R84" s="165">
        <v>951.63</v>
      </c>
      <c r="S84" s="44">
        <v>951.63</v>
      </c>
      <c r="T84" s="1">
        <f t="shared" si="46"/>
        <v>57381.703333333338</v>
      </c>
      <c r="U84" s="1">
        <f t="shared" si="41"/>
        <v>14871.238416666671</v>
      </c>
      <c r="V84" s="43">
        <f t="shared" si="11"/>
        <v>0.2549355157142858</v>
      </c>
      <c r="W84" s="35">
        <f t="shared" ref="W84:W103" si="124">$I84-R84-U84</f>
        <v>42510.464916666664</v>
      </c>
      <c r="X84" s="1"/>
      <c r="Y84" s="269">
        <v>988.09</v>
      </c>
      <c r="Z84" s="266">
        <v>988.09</v>
      </c>
      <c r="AA84" s="252">
        <f t="shared" si="47"/>
        <v>57345.243333333339</v>
      </c>
      <c r="AB84" s="268"/>
      <c r="AC84" s="252">
        <f t="shared" si="79"/>
        <v>14861.211916666671</v>
      </c>
      <c r="AD84" s="262">
        <f t="shared" si="29"/>
        <v>0.25476363285714293</v>
      </c>
      <c r="AE84" s="255">
        <f t="shared" si="20"/>
        <v>42484.031416666665</v>
      </c>
      <c r="AF84" s="1"/>
      <c r="AG84" s="165">
        <v>988.09</v>
      </c>
      <c r="AH84" s="44">
        <v>988.09</v>
      </c>
      <c r="AI84" s="1">
        <f t="shared" si="107"/>
        <v>57345.243333333339</v>
      </c>
      <c r="AJ84" s="1"/>
      <c r="AK84" s="1">
        <f t="shared" si="110"/>
        <v>14214.396068666671</v>
      </c>
      <c r="AL84" s="171">
        <f t="shared" si="98"/>
        <v>0.24367536117714292</v>
      </c>
      <c r="AM84" s="35">
        <f t="shared" ref="AM84:AM103" si="125">$I84-AG84-AK84</f>
        <v>43130.847264666671</v>
      </c>
      <c r="AN84" s="1"/>
      <c r="AO84" s="40">
        <v>988.09</v>
      </c>
      <c r="AP84" s="163">
        <v>2932</v>
      </c>
      <c r="AQ84" s="1">
        <f t="shared" si="43"/>
        <v>55401.333333333336</v>
      </c>
      <c r="AR84" s="1">
        <f t="shared" si="102"/>
        <v>13408.96092711058</v>
      </c>
      <c r="AS84" s="171">
        <f t="shared" si="32"/>
        <v>0.22986790160760995</v>
      </c>
      <c r="AT84" s="35">
        <f t="shared" si="117"/>
        <v>43936.282406222759</v>
      </c>
      <c r="AU84" s="1"/>
      <c r="AV84" s="40">
        <v>988.09</v>
      </c>
      <c r="AW84" s="163">
        <v>2932</v>
      </c>
      <c r="AX84" s="1">
        <f t="shared" si="69"/>
        <v>55401.333333333336</v>
      </c>
      <c r="AY84" s="1">
        <f t="shared" ref="AY84:AY89" si="126">AX84*$BF$35-$BG$35</f>
        <v>13679.027593777246</v>
      </c>
      <c r="AZ84" s="171">
        <f t="shared" si="71"/>
        <v>0.23449761589332421</v>
      </c>
      <c r="BA84" s="35">
        <f t="shared" si="72"/>
        <v>43666.215739556093</v>
      </c>
      <c r="BB84" s="1"/>
    </row>
    <row r="85" spans="6:54" x14ac:dyDescent="0.25">
      <c r="G85" s="1">
        <f>I85*12</f>
        <v>720000</v>
      </c>
      <c r="I85" s="3">
        <v>60000</v>
      </c>
      <c r="J85" s="1"/>
      <c r="K85" s="165">
        <v>951.63</v>
      </c>
      <c r="L85" s="44">
        <v>951.63</v>
      </c>
      <c r="M85" s="1">
        <f t="shared" si="45"/>
        <v>59048.37</v>
      </c>
      <c r="N85" s="1">
        <f t="shared" si="40"/>
        <v>15342.301750000002</v>
      </c>
      <c r="O85" s="43">
        <f t="shared" si="9"/>
        <v>0.25570502916666671</v>
      </c>
      <c r="P85" s="35">
        <f t="shared" si="96"/>
        <v>43706.068249999997</v>
      </c>
      <c r="Q85" s="1"/>
      <c r="R85" s="165">
        <v>951.63</v>
      </c>
      <c r="S85" s="44">
        <v>951.63</v>
      </c>
      <c r="T85" s="1">
        <f t="shared" si="46"/>
        <v>59048.37</v>
      </c>
      <c r="U85" s="1">
        <f t="shared" si="41"/>
        <v>15329.571750000003</v>
      </c>
      <c r="V85" s="43">
        <f t="shared" si="11"/>
        <v>0.25549286250000003</v>
      </c>
      <c r="W85" s="35">
        <f t="shared" si="124"/>
        <v>43718.79825</v>
      </c>
      <c r="X85" s="1"/>
      <c r="Y85" s="269">
        <v>988.09</v>
      </c>
      <c r="Z85" s="266">
        <v>988.09</v>
      </c>
      <c r="AA85" s="252">
        <f t="shared" si="47"/>
        <v>59011.91</v>
      </c>
      <c r="AB85" s="268"/>
      <c r="AC85" s="252">
        <f t="shared" si="79"/>
        <v>15319.545250000003</v>
      </c>
      <c r="AD85" s="262">
        <f t="shared" si="29"/>
        <v>0.2553257541666667</v>
      </c>
      <c r="AE85" s="255">
        <f t="shared" si="20"/>
        <v>43692.364750000001</v>
      </c>
      <c r="AF85" s="1"/>
      <c r="AG85" s="165">
        <v>988.09</v>
      </c>
      <c r="AH85" s="44">
        <v>988.09</v>
      </c>
      <c r="AI85" s="1">
        <f t="shared" si="107"/>
        <v>59011.91</v>
      </c>
      <c r="AJ85" s="1"/>
      <c r="AK85" s="1">
        <f t="shared" si="110"/>
        <v>14672.729402000003</v>
      </c>
      <c r="AL85" s="171">
        <f t="shared" si="98"/>
        <v>0.24454549003333337</v>
      </c>
      <c r="AM85" s="35">
        <f t="shared" si="125"/>
        <v>44339.180597999999</v>
      </c>
      <c r="AN85" s="1"/>
      <c r="AO85" s="40">
        <v>988.09</v>
      </c>
      <c r="AP85" s="163">
        <v>2932</v>
      </c>
      <c r="AQ85" s="1">
        <f t="shared" si="43"/>
        <v>57068</v>
      </c>
      <c r="AR85" s="1">
        <f t="shared" si="102"/>
        <v>13867.294260443912</v>
      </c>
      <c r="AS85" s="171">
        <f t="shared" si="32"/>
        <v>0.23112157100739852</v>
      </c>
      <c r="AT85" s="35">
        <f t="shared" si="117"/>
        <v>45144.615739556088</v>
      </c>
      <c r="AU85" s="1"/>
      <c r="AV85" s="40">
        <v>988.09</v>
      </c>
      <c r="AW85" s="163">
        <v>2932</v>
      </c>
      <c r="AX85" s="1">
        <f t="shared" si="69"/>
        <v>57068</v>
      </c>
      <c r="AY85" s="1">
        <f t="shared" si="126"/>
        <v>14220.694260443914</v>
      </c>
      <c r="AZ85" s="171">
        <f t="shared" si="71"/>
        <v>0.23701157100739856</v>
      </c>
      <c r="BA85" s="35">
        <f t="shared" si="72"/>
        <v>44791.215739556093</v>
      </c>
      <c r="BB85" s="1"/>
    </row>
    <row r="86" spans="6:54" x14ac:dyDescent="0.25">
      <c r="G86" s="12">
        <v>800000</v>
      </c>
      <c r="I86" s="7">
        <f>G86/12</f>
        <v>66666.666666666672</v>
      </c>
      <c r="J86" s="1"/>
      <c r="K86" s="165">
        <v>951.63</v>
      </c>
      <c r="L86" s="44">
        <v>951.63</v>
      </c>
      <c r="M86" s="1">
        <f t="shared" si="45"/>
        <v>65715.036666666667</v>
      </c>
      <c r="N86" s="1">
        <f t="shared" si="40"/>
        <v>17175.635083333334</v>
      </c>
      <c r="O86" s="43">
        <f>N86/$I86</f>
        <v>0.25763452625</v>
      </c>
      <c r="P86" s="35">
        <f t="shared" si="96"/>
        <v>48539.401583333332</v>
      </c>
      <c r="Q86" s="1"/>
      <c r="R86" s="165">
        <v>951.63</v>
      </c>
      <c r="S86" s="44">
        <v>951.63</v>
      </c>
      <c r="T86" s="1">
        <f t="shared" si="46"/>
        <v>65715.036666666667</v>
      </c>
      <c r="U86" s="1">
        <f t="shared" si="41"/>
        <v>17162.905083333335</v>
      </c>
      <c r="V86" s="43">
        <f t="shared" si="11"/>
        <v>0.25744357625000003</v>
      </c>
      <c r="W86" s="35">
        <f t="shared" si="124"/>
        <v>48552.131583333336</v>
      </c>
      <c r="X86" s="1"/>
      <c r="Y86" s="269">
        <v>988.09</v>
      </c>
      <c r="Z86" s="266">
        <v>988.09</v>
      </c>
      <c r="AA86" s="252">
        <f t="shared" si="47"/>
        <v>65678.576666666675</v>
      </c>
      <c r="AB86" s="268"/>
      <c r="AC86" s="252">
        <f t="shared" si="79"/>
        <v>17152.878583333339</v>
      </c>
      <c r="AD86" s="262">
        <f t="shared" si="29"/>
        <v>0.25729317875000007</v>
      </c>
      <c r="AE86" s="255">
        <f t="shared" si="20"/>
        <v>48525.698083333336</v>
      </c>
      <c r="AF86" s="1"/>
      <c r="AG86" s="165">
        <v>988.09</v>
      </c>
      <c r="AH86" s="44">
        <v>988.09</v>
      </c>
      <c r="AI86" s="1">
        <f t="shared" si="107"/>
        <v>65678.576666666675</v>
      </c>
      <c r="AJ86" s="1"/>
      <c r="AK86" s="1">
        <f t="shared" si="110"/>
        <v>16506.062735333337</v>
      </c>
      <c r="AL86" s="171">
        <f t="shared" si="98"/>
        <v>0.24759094103000004</v>
      </c>
      <c r="AM86" s="35">
        <f t="shared" si="125"/>
        <v>49172.513931333335</v>
      </c>
      <c r="AN86" s="1"/>
      <c r="AO86" s="40">
        <v>988.09</v>
      </c>
      <c r="AP86" s="163">
        <v>2932</v>
      </c>
      <c r="AQ86" s="1">
        <f t="shared" si="43"/>
        <v>63734.666666666672</v>
      </c>
      <c r="AR86" s="1">
        <f t="shared" si="102"/>
        <v>15700.627593777248</v>
      </c>
      <c r="AS86" s="171">
        <f t="shared" si="32"/>
        <v>0.23550941390665869</v>
      </c>
      <c r="AT86" s="35">
        <f t="shared" si="117"/>
        <v>49977.949072889431</v>
      </c>
      <c r="AU86" s="1"/>
      <c r="AV86" s="40">
        <v>988.09</v>
      </c>
      <c r="AW86" s="163">
        <v>2932</v>
      </c>
      <c r="AX86" s="1">
        <f t="shared" si="69"/>
        <v>63734.666666666672</v>
      </c>
      <c r="AY86" s="1">
        <f t="shared" si="126"/>
        <v>16387.360927110582</v>
      </c>
      <c r="AZ86" s="171">
        <f t="shared" si="71"/>
        <v>0.2458104139066587</v>
      </c>
      <c r="BA86" s="35">
        <f t="shared" si="72"/>
        <v>49291.215739556093</v>
      </c>
      <c r="BB86" s="1"/>
    </row>
    <row r="87" spans="6:54" x14ac:dyDescent="0.25">
      <c r="G87" s="1">
        <f>I87*12</f>
        <v>840000</v>
      </c>
      <c r="I87" s="3">
        <v>70000</v>
      </c>
      <c r="J87" s="1"/>
      <c r="K87" s="165">
        <v>951.63</v>
      </c>
      <c r="L87" s="44">
        <v>951.63</v>
      </c>
      <c r="M87" s="1">
        <f t="shared" si="45"/>
        <v>69048.37</v>
      </c>
      <c r="N87" s="1">
        <f t="shared" si="40"/>
        <v>18092.301749999999</v>
      </c>
      <c r="O87" s="43">
        <f t="shared" si="9"/>
        <v>0.25846145357142858</v>
      </c>
      <c r="P87" s="35">
        <f t="shared" si="96"/>
        <v>50956.068249999997</v>
      </c>
      <c r="Q87" s="1"/>
      <c r="R87" s="165">
        <v>951.63</v>
      </c>
      <c r="S87" s="44">
        <v>951.63</v>
      </c>
      <c r="T87" s="1">
        <f t="shared" si="46"/>
        <v>69048.37</v>
      </c>
      <c r="U87" s="1">
        <f t="shared" si="41"/>
        <v>18079.571749999999</v>
      </c>
      <c r="V87" s="43">
        <f t="shared" si="11"/>
        <v>0.2582795964285714</v>
      </c>
      <c r="W87" s="35">
        <f t="shared" si="124"/>
        <v>50968.798249999993</v>
      </c>
      <c r="X87" s="1"/>
      <c r="Y87" s="269">
        <v>988.09</v>
      </c>
      <c r="Z87" s="266">
        <v>988.09</v>
      </c>
      <c r="AA87" s="252">
        <f t="shared" si="47"/>
        <v>69011.91</v>
      </c>
      <c r="AB87" s="268"/>
      <c r="AC87" s="252">
        <f t="shared" si="79"/>
        <v>18069.545250000003</v>
      </c>
      <c r="AD87" s="262">
        <f t="shared" si="29"/>
        <v>0.25813636071428575</v>
      </c>
      <c r="AE87" s="255">
        <f t="shared" si="20"/>
        <v>50942.364750000001</v>
      </c>
      <c r="AF87" s="1"/>
      <c r="AG87" s="165">
        <v>988.09</v>
      </c>
      <c r="AH87" s="44">
        <v>988.09</v>
      </c>
      <c r="AI87" s="1">
        <f t="shared" si="107"/>
        <v>69011.91</v>
      </c>
      <c r="AJ87" s="1"/>
      <c r="AK87" s="1">
        <f t="shared" si="110"/>
        <v>17422.729402000001</v>
      </c>
      <c r="AL87" s="171">
        <f t="shared" si="98"/>
        <v>0.24889613431428573</v>
      </c>
      <c r="AM87" s="35">
        <f t="shared" si="125"/>
        <v>51589.180598000006</v>
      </c>
      <c r="AN87" s="1"/>
      <c r="AO87" s="40">
        <v>988.09</v>
      </c>
      <c r="AP87" s="163">
        <v>2932</v>
      </c>
      <c r="AQ87" s="1">
        <f t="shared" si="43"/>
        <v>67068</v>
      </c>
      <c r="AR87" s="1">
        <f t="shared" si="102"/>
        <v>16617.294260443912</v>
      </c>
      <c r="AS87" s="171">
        <f t="shared" si="32"/>
        <v>0.2373899180063416</v>
      </c>
      <c r="AT87" s="35">
        <f t="shared" si="117"/>
        <v>52394.615739556088</v>
      </c>
      <c r="AU87" s="1"/>
      <c r="AV87" s="40">
        <v>988.09</v>
      </c>
      <c r="AW87" s="163">
        <v>2932</v>
      </c>
      <c r="AX87" s="1">
        <f t="shared" si="69"/>
        <v>67068</v>
      </c>
      <c r="AY87" s="1">
        <f t="shared" si="126"/>
        <v>17470.694260443914</v>
      </c>
      <c r="AZ87" s="171">
        <f t="shared" si="71"/>
        <v>0.2495813465777702</v>
      </c>
      <c r="BA87" s="35">
        <f t="shared" si="72"/>
        <v>51541.215739556093</v>
      </c>
      <c r="BB87" s="1"/>
    </row>
    <row r="88" spans="6:54" x14ac:dyDescent="0.25">
      <c r="G88" s="12">
        <v>900000</v>
      </c>
      <c r="I88" s="7">
        <f>G88/12</f>
        <v>75000</v>
      </c>
      <c r="J88" s="1"/>
      <c r="K88" s="165">
        <v>951.63</v>
      </c>
      <c r="L88" s="44">
        <v>951.63</v>
      </c>
      <c r="M88" s="1">
        <f t="shared" si="45"/>
        <v>74048.37</v>
      </c>
      <c r="N88" s="1">
        <f t="shared" si="40"/>
        <v>19467.301749999999</v>
      </c>
      <c r="O88" s="43">
        <f t="shared" ref="O88:O103" si="127">N88/$I88</f>
        <v>0.25956402333333334</v>
      </c>
      <c r="P88" s="35">
        <f t="shared" si="96"/>
        <v>54581.068249999997</v>
      </c>
      <c r="Q88" s="1"/>
      <c r="R88" s="165">
        <v>951.63</v>
      </c>
      <c r="S88" s="44">
        <v>951.63</v>
      </c>
      <c r="T88" s="1">
        <f t="shared" si="46"/>
        <v>74048.37</v>
      </c>
      <c r="U88" s="1">
        <f t="shared" si="41"/>
        <v>19454.571749999999</v>
      </c>
      <c r="V88" s="43">
        <f t="shared" si="11"/>
        <v>0.25939428999999997</v>
      </c>
      <c r="W88" s="35">
        <f t="shared" si="124"/>
        <v>54593.798249999993</v>
      </c>
      <c r="X88" s="1"/>
      <c r="Y88" s="269">
        <v>988.09</v>
      </c>
      <c r="Z88" s="266">
        <v>988.09</v>
      </c>
      <c r="AA88" s="252">
        <f t="shared" si="47"/>
        <v>74011.91</v>
      </c>
      <c r="AB88" s="268"/>
      <c r="AC88" s="252">
        <f t="shared" si="79"/>
        <v>19444.545250000003</v>
      </c>
      <c r="AD88" s="262">
        <f t="shared" si="29"/>
        <v>0.25926060333333339</v>
      </c>
      <c r="AE88" s="255">
        <f t="shared" si="20"/>
        <v>54567.364750000001</v>
      </c>
      <c r="AF88" s="1"/>
      <c r="AG88" s="165">
        <v>988.09</v>
      </c>
      <c r="AH88" s="44">
        <v>988.09</v>
      </c>
      <c r="AI88" s="1">
        <f t="shared" si="107"/>
        <v>74011.91</v>
      </c>
      <c r="AJ88" s="1"/>
      <c r="AK88" s="1">
        <f t="shared" si="110"/>
        <v>18797.729402000001</v>
      </c>
      <c r="AL88" s="171">
        <f t="shared" si="98"/>
        <v>0.25063639202666665</v>
      </c>
      <c r="AM88" s="35">
        <f t="shared" si="125"/>
        <v>55214.180598000006</v>
      </c>
      <c r="AN88" s="1"/>
      <c r="AO88" s="40">
        <v>988.09</v>
      </c>
      <c r="AP88" s="163">
        <v>2932</v>
      </c>
      <c r="AQ88" s="1">
        <f t="shared" si="43"/>
        <v>72068</v>
      </c>
      <c r="AR88" s="1">
        <f t="shared" si="102"/>
        <v>17992.294260443912</v>
      </c>
      <c r="AS88" s="171">
        <f t="shared" si="32"/>
        <v>0.23989725680591883</v>
      </c>
      <c r="AT88" s="35">
        <f t="shared" si="117"/>
        <v>56019.615739556088</v>
      </c>
      <c r="AU88" s="1"/>
      <c r="AV88" s="40">
        <v>988.09</v>
      </c>
      <c r="AW88" s="163">
        <v>2932</v>
      </c>
      <c r="AX88" s="1">
        <f t="shared" si="69"/>
        <v>72068</v>
      </c>
      <c r="AY88" s="1">
        <f t="shared" si="126"/>
        <v>19095.694260443914</v>
      </c>
      <c r="AZ88" s="171">
        <f t="shared" si="71"/>
        <v>0.25460925680591884</v>
      </c>
      <c r="BA88" s="35">
        <f t="shared" si="72"/>
        <v>54916.215739556093</v>
      </c>
      <c r="BB88" s="1"/>
    </row>
    <row r="89" spans="6:54" x14ac:dyDescent="0.25">
      <c r="G89" s="12"/>
      <c r="I89" s="7">
        <v>80000</v>
      </c>
      <c r="J89" s="1"/>
      <c r="K89" s="165"/>
      <c r="L89" s="44"/>
      <c r="M89" s="1"/>
      <c r="N89" s="1"/>
      <c r="O89" s="43"/>
      <c r="P89" s="35"/>
      <c r="Q89" s="1"/>
      <c r="R89" s="165"/>
      <c r="S89" s="44"/>
      <c r="T89" s="1"/>
      <c r="U89" s="1"/>
      <c r="V89" s="43"/>
      <c r="W89" s="35"/>
      <c r="X89" s="1"/>
      <c r="Y89" s="269"/>
      <c r="Z89" s="266"/>
      <c r="AA89" s="252"/>
      <c r="AB89" s="268"/>
      <c r="AC89" s="252"/>
      <c r="AD89" s="262"/>
      <c r="AE89" s="255"/>
      <c r="AF89" s="1"/>
      <c r="AG89" s="165"/>
      <c r="AH89" s="44"/>
      <c r="AI89" s="1"/>
      <c r="AJ89" s="1"/>
      <c r="AK89" s="1"/>
      <c r="AL89" s="171"/>
      <c r="AM89" s="35"/>
      <c r="AN89" s="1"/>
      <c r="AO89" s="40"/>
      <c r="AP89" s="163"/>
      <c r="AQ89" s="1"/>
      <c r="AR89" s="1"/>
      <c r="AS89" s="171"/>
      <c r="AT89" s="35"/>
      <c r="AU89" s="1"/>
      <c r="AV89" s="40">
        <v>988.09</v>
      </c>
      <c r="AW89" s="163">
        <v>2932</v>
      </c>
      <c r="AX89" s="1">
        <f t="shared" ref="AX89" si="128">$I89-AW89</f>
        <v>77068</v>
      </c>
      <c r="AY89" s="1">
        <f t="shared" si="126"/>
        <v>20720.694260443914</v>
      </c>
      <c r="AZ89" s="171">
        <f t="shared" ref="AZ89" si="129">AY89/$I89</f>
        <v>0.25900867825554891</v>
      </c>
      <c r="BA89" s="35">
        <f t="shared" ref="BA89" si="130">$I89-AV89-AY89</f>
        <v>58291.215739556093</v>
      </c>
      <c r="BB89" s="1"/>
    </row>
    <row r="90" spans="6:54" x14ac:dyDescent="0.25">
      <c r="G90" s="12">
        <v>1000000</v>
      </c>
      <c r="I90" s="7">
        <f>G90/12</f>
        <v>83333.333333333328</v>
      </c>
      <c r="J90" s="1"/>
      <c r="K90" s="165">
        <v>951.63</v>
      </c>
      <c r="L90" s="44">
        <v>951.63</v>
      </c>
      <c r="M90" s="1">
        <f t="shared" si="45"/>
        <v>82381.703333333324</v>
      </c>
      <c r="N90" s="1">
        <f t="shared" si="40"/>
        <v>21758.968416666667</v>
      </c>
      <c r="O90" s="43">
        <f t="shared" si="127"/>
        <v>0.26110762100000001</v>
      </c>
      <c r="P90" s="35">
        <f t="shared" si="96"/>
        <v>60622.734916666654</v>
      </c>
      <c r="Q90" s="1"/>
      <c r="R90" s="165">
        <v>951.63</v>
      </c>
      <c r="S90" s="44">
        <v>951.63</v>
      </c>
      <c r="T90" s="1">
        <f t="shared" si="46"/>
        <v>82381.703333333324</v>
      </c>
      <c r="U90" s="1">
        <f t="shared" si="41"/>
        <v>21746.238416666667</v>
      </c>
      <c r="V90" s="43">
        <f t="shared" ref="V90:V103" si="131">U90/$I90</f>
        <v>0.26095486100000004</v>
      </c>
      <c r="W90" s="35">
        <f t="shared" si="124"/>
        <v>60635.464916666657</v>
      </c>
      <c r="X90" s="1"/>
      <c r="Y90" s="269">
        <v>988.09</v>
      </c>
      <c r="Z90" s="266">
        <v>988.09</v>
      </c>
      <c r="AA90" s="252">
        <f t="shared" si="47"/>
        <v>82345.243333333332</v>
      </c>
      <c r="AB90" s="268"/>
      <c r="AC90" s="252">
        <f t="shared" si="79"/>
        <v>21736.211916666667</v>
      </c>
      <c r="AD90" s="262">
        <f t="shared" si="29"/>
        <v>0.26083454300000003</v>
      </c>
      <c r="AE90" s="255">
        <f t="shared" si="20"/>
        <v>60609.031416666665</v>
      </c>
      <c r="AF90" s="1"/>
      <c r="AG90" s="165">
        <v>988.09</v>
      </c>
      <c r="AH90" s="44">
        <v>988.09</v>
      </c>
      <c r="AI90" s="1">
        <f t="shared" si="107"/>
        <v>82345.243333333332</v>
      </c>
      <c r="AJ90" s="1"/>
      <c r="AK90" s="1">
        <f t="shared" si="110"/>
        <v>21089.396068666665</v>
      </c>
      <c r="AL90" s="171">
        <f t="shared" si="98"/>
        <v>0.25307275282399999</v>
      </c>
      <c r="AM90" s="35">
        <f t="shared" si="125"/>
        <v>61255.847264666663</v>
      </c>
      <c r="AN90" s="1"/>
      <c r="AO90" s="40">
        <v>988.09</v>
      </c>
      <c r="AP90" s="163">
        <v>2932</v>
      </c>
      <c r="AQ90" s="1">
        <f t="shared" si="43"/>
        <v>80401.333333333328</v>
      </c>
      <c r="AR90" s="1">
        <f t="shared" si="102"/>
        <v>20283.96092711058</v>
      </c>
      <c r="AS90" s="171">
        <f t="shared" si="32"/>
        <v>0.24340753112532698</v>
      </c>
      <c r="AT90" s="35">
        <f t="shared" si="117"/>
        <v>62061.282406222752</v>
      </c>
      <c r="AU90" s="1"/>
      <c r="AV90" s="40">
        <v>988.09</v>
      </c>
      <c r="AW90" s="163">
        <v>2932</v>
      </c>
      <c r="AX90" s="1">
        <f t="shared" si="69"/>
        <v>80401.333333333328</v>
      </c>
      <c r="AY90" s="1">
        <f t="shared" ref="AY90:AY95" si="132">AX90*$BF$36-$BG$36</f>
        <v>21824.094260443911</v>
      </c>
      <c r="AZ90" s="171">
        <f t="shared" si="71"/>
        <v>0.26188913112532697</v>
      </c>
      <c r="BA90" s="35">
        <f t="shared" si="72"/>
        <v>60521.14907288942</v>
      </c>
      <c r="BB90" s="1"/>
    </row>
    <row r="91" spans="6:54" x14ac:dyDescent="0.25">
      <c r="G91" s="12">
        <v>1100000</v>
      </c>
      <c r="I91" s="7">
        <f>G91/12</f>
        <v>91666.666666666672</v>
      </c>
      <c r="J91" s="1"/>
      <c r="K91" s="165">
        <v>951.63</v>
      </c>
      <c r="L91" s="44">
        <v>951.63</v>
      </c>
      <c r="M91" s="1">
        <f t="shared" si="45"/>
        <v>90715.036666666667</v>
      </c>
      <c r="N91" s="1">
        <f t="shared" si="40"/>
        <v>24050.635083333334</v>
      </c>
      <c r="O91" s="43">
        <f t="shared" si="127"/>
        <v>0.26237056454545454</v>
      </c>
      <c r="P91" s="35">
        <f t="shared" si="96"/>
        <v>66664.401583333325</v>
      </c>
      <c r="Q91" s="1"/>
      <c r="R91" s="165">
        <v>951.63</v>
      </c>
      <c r="S91" s="44">
        <v>951.63</v>
      </c>
      <c r="T91" s="1">
        <f t="shared" si="46"/>
        <v>90715.036666666667</v>
      </c>
      <c r="U91" s="1">
        <f t="shared" si="41"/>
        <v>24037.905083333335</v>
      </c>
      <c r="V91" s="43">
        <f t="shared" si="131"/>
        <v>0.26223169181818184</v>
      </c>
      <c r="W91" s="35">
        <f t="shared" si="124"/>
        <v>66677.131583333336</v>
      </c>
      <c r="X91" s="1"/>
      <c r="Y91" s="269">
        <v>988.09</v>
      </c>
      <c r="Z91" s="266">
        <v>988.09</v>
      </c>
      <c r="AA91" s="252">
        <f t="shared" si="47"/>
        <v>90678.576666666675</v>
      </c>
      <c r="AB91" s="268"/>
      <c r="AC91" s="252">
        <f t="shared" si="79"/>
        <v>24027.878583333339</v>
      </c>
      <c r="AD91" s="262">
        <f t="shared" si="29"/>
        <v>0.26212231181818185</v>
      </c>
      <c r="AE91" s="255">
        <f t="shared" si="20"/>
        <v>66650.698083333336</v>
      </c>
      <c r="AF91" s="1"/>
      <c r="AG91" s="165">
        <v>988.09</v>
      </c>
      <c r="AH91" s="44">
        <v>988.09</v>
      </c>
      <c r="AI91" s="1">
        <f t="shared" si="107"/>
        <v>90678.576666666675</v>
      </c>
      <c r="AJ91" s="1"/>
      <c r="AK91" s="1">
        <f t="shared" si="110"/>
        <v>23381.062735333337</v>
      </c>
      <c r="AL91" s="171">
        <f t="shared" si="98"/>
        <v>0.25506613893090913</v>
      </c>
      <c r="AM91" s="35">
        <f t="shared" si="125"/>
        <v>67297.513931333335</v>
      </c>
      <c r="AN91" s="1"/>
      <c r="AO91" s="40">
        <v>988.09</v>
      </c>
      <c r="AP91" s="163">
        <v>2932</v>
      </c>
      <c r="AQ91" s="1">
        <f t="shared" si="43"/>
        <v>88734.666666666672</v>
      </c>
      <c r="AR91" s="1">
        <f t="shared" si="102"/>
        <v>22575.627593777248</v>
      </c>
      <c r="AS91" s="171">
        <f t="shared" si="32"/>
        <v>0.24627957375029724</v>
      </c>
      <c r="AT91" s="35">
        <f t="shared" si="117"/>
        <v>68102.949072889431</v>
      </c>
      <c r="AU91" s="1"/>
      <c r="AV91" s="40">
        <v>988.09</v>
      </c>
      <c r="AW91" s="163">
        <v>2932</v>
      </c>
      <c r="AX91" s="1">
        <f t="shared" si="69"/>
        <v>88734.666666666672</v>
      </c>
      <c r="AY91" s="1">
        <f t="shared" si="132"/>
        <v>24949.094260443911</v>
      </c>
      <c r="AZ91" s="171">
        <f t="shared" si="71"/>
        <v>0.27217193738666084</v>
      </c>
      <c r="BA91" s="35">
        <f t="shared" si="72"/>
        <v>65729.482406222756</v>
      </c>
      <c r="BB91" s="1"/>
    </row>
    <row r="92" spans="6:54" ht="15.75" x14ac:dyDescent="0.25">
      <c r="G92" s="38" t="s">
        <v>172</v>
      </c>
      <c r="I92" s="7">
        <v>94300</v>
      </c>
      <c r="J92" s="1"/>
      <c r="K92" s="165"/>
      <c r="L92" s="44"/>
      <c r="M92" s="1"/>
      <c r="N92" s="1"/>
      <c r="O92" s="43"/>
      <c r="P92" s="35"/>
      <c r="Q92" s="1"/>
      <c r="R92" s="165"/>
      <c r="S92" s="44"/>
      <c r="T92" s="1"/>
      <c r="U92" s="1"/>
      <c r="V92" s="43"/>
      <c r="W92" s="35"/>
      <c r="X92" s="1"/>
      <c r="Y92" s="269"/>
      <c r="Z92" s="266"/>
      <c r="AA92" s="252"/>
      <c r="AB92" s="268"/>
      <c r="AC92" s="252"/>
      <c r="AD92" s="262"/>
      <c r="AE92" s="255"/>
      <c r="AF92" s="1"/>
      <c r="AG92" s="165"/>
      <c r="AH92" s="44"/>
      <c r="AI92" s="1"/>
      <c r="AJ92" s="1"/>
      <c r="AK92" s="1"/>
      <c r="AL92" s="171"/>
      <c r="AM92" s="35"/>
      <c r="AN92" s="1"/>
      <c r="AO92" s="40"/>
      <c r="AP92" s="163"/>
      <c r="AQ92" s="1"/>
      <c r="AR92" s="1"/>
      <c r="AS92" s="171"/>
      <c r="AT92" s="35"/>
      <c r="AU92" s="1"/>
      <c r="AV92" s="40">
        <v>988.09</v>
      </c>
      <c r="AW92" s="163">
        <v>2932</v>
      </c>
      <c r="AX92" s="1">
        <f t="shared" ref="AX92" si="133">$I92-AW92</f>
        <v>91368</v>
      </c>
      <c r="AY92" s="1">
        <f t="shared" si="132"/>
        <v>25936.594260443911</v>
      </c>
      <c r="AZ92" s="171">
        <f>AY92/$I92</f>
        <v>0.27504341739601179</v>
      </c>
      <c r="BA92" s="35">
        <f t="shared" si="72"/>
        <v>67375.315739556099</v>
      </c>
      <c r="BB92" s="1"/>
    </row>
    <row r="93" spans="6:54" x14ac:dyDescent="0.25">
      <c r="G93" s="12">
        <v>1200000</v>
      </c>
      <c r="I93" s="7">
        <f>G93/12</f>
        <v>100000</v>
      </c>
      <c r="J93" s="1"/>
      <c r="K93" s="165">
        <v>951.63</v>
      </c>
      <c r="L93" s="44">
        <v>951.63</v>
      </c>
      <c r="M93" s="1">
        <f t="shared" si="45"/>
        <v>99048.37</v>
      </c>
      <c r="N93" s="1">
        <f t="shared" si="40"/>
        <v>26342.301750000002</v>
      </c>
      <c r="O93" s="43">
        <f t="shared" si="127"/>
        <v>0.26342301750000002</v>
      </c>
      <c r="P93" s="35">
        <f t="shared" si="96"/>
        <v>72706.068249999997</v>
      </c>
      <c r="Q93" s="1"/>
      <c r="R93" s="165">
        <v>951.63</v>
      </c>
      <c r="S93" s="44">
        <v>951.63</v>
      </c>
      <c r="T93" s="1">
        <f t="shared" si="46"/>
        <v>99048.37</v>
      </c>
      <c r="U93" s="1">
        <f t="shared" si="41"/>
        <v>26329.571750000003</v>
      </c>
      <c r="V93" s="43">
        <f t="shared" si="131"/>
        <v>0.26329571750000003</v>
      </c>
      <c r="W93" s="35">
        <f t="shared" si="124"/>
        <v>72718.798249999993</v>
      </c>
      <c r="X93" s="1"/>
      <c r="Y93" s="269">
        <v>988.09</v>
      </c>
      <c r="Z93" s="266">
        <v>988.09</v>
      </c>
      <c r="AA93" s="252">
        <f t="shared" si="47"/>
        <v>99011.91</v>
      </c>
      <c r="AB93" s="268"/>
      <c r="AC93" s="252">
        <f t="shared" si="79"/>
        <v>26319.545250000003</v>
      </c>
      <c r="AD93" s="262">
        <f t="shared" si="29"/>
        <v>0.26319545250000004</v>
      </c>
      <c r="AE93" s="255">
        <f t="shared" si="20"/>
        <v>72692.364750000008</v>
      </c>
      <c r="AF93" s="1"/>
      <c r="AG93" s="165">
        <v>988.09</v>
      </c>
      <c r="AH93" s="44">
        <v>988.09</v>
      </c>
      <c r="AI93" s="1">
        <f t="shared" si="107"/>
        <v>99011.91</v>
      </c>
      <c r="AJ93" s="1"/>
      <c r="AK93" s="1">
        <f t="shared" si="110"/>
        <v>25672.729402000001</v>
      </c>
      <c r="AL93" s="171">
        <f t="shared" si="98"/>
        <v>0.25672729402</v>
      </c>
      <c r="AM93" s="35">
        <f t="shared" si="125"/>
        <v>73339.180598000006</v>
      </c>
      <c r="AN93" s="1"/>
      <c r="AO93" s="40">
        <v>988.09</v>
      </c>
      <c r="AP93" s="163">
        <v>2932</v>
      </c>
      <c r="AQ93" s="1">
        <f t="shared" si="43"/>
        <v>97068</v>
      </c>
      <c r="AR93" s="1">
        <f t="shared" si="102"/>
        <v>24867.294260443912</v>
      </c>
      <c r="AS93" s="171">
        <f t="shared" si="32"/>
        <v>0.24867294260443912</v>
      </c>
      <c r="AT93" s="35">
        <f t="shared" si="117"/>
        <v>74144.615739556088</v>
      </c>
      <c r="AU93" s="1"/>
      <c r="AV93" s="40">
        <v>988.09</v>
      </c>
      <c r="AW93" s="163">
        <v>2932</v>
      </c>
      <c r="AX93" s="1">
        <f t="shared" si="69"/>
        <v>97068</v>
      </c>
      <c r="AY93" s="1">
        <f t="shared" si="132"/>
        <v>28074.094260443911</v>
      </c>
      <c r="AZ93" s="171">
        <f t="shared" si="71"/>
        <v>0.2807409426044391</v>
      </c>
      <c r="BA93" s="35">
        <f t="shared" si="72"/>
        <v>70937.815739556099</v>
      </c>
      <c r="BB93" s="1"/>
    </row>
    <row r="94" spans="6:54" x14ac:dyDescent="0.25">
      <c r="G94" s="1">
        <f t="shared" ref="G94:G103" si="134">I94*12</f>
        <v>1320000</v>
      </c>
      <c r="I94" s="3">
        <v>110000</v>
      </c>
      <c r="J94" s="1"/>
      <c r="K94" s="165">
        <v>951.63</v>
      </c>
      <c r="L94" s="44">
        <v>951.63</v>
      </c>
      <c r="M94" s="1">
        <f t="shared" si="45"/>
        <v>109048.37</v>
      </c>
      <c r="N94" s="1">
        <f t="shared" si="40"/>
        <v>29092.301750000002</v>
      </c>
      <c r="O94" s="43">
        <f t="shared" si="127"/>
        <v>0.2644754704545455</v>
      </c>
      <c r="P94" s="35">
        <f t="shared" si="96"/>
        <v>79956.068249999997</v>
      </c>
      <c r="Q94" s="1"/>
      <c r="R94" s="165">
        <v>951.63</v>
      </c>
      <c r="S94" s="44">
        <v>951.63</v>
      </c>
      <c r="T94" s="1">
        <f t="shared" si="46"/>
        <v>109048.37</v>
      </c>
      <c r="U94" s="1">
        <f t="shared" si="41"/>
        <v>29079.571750000003</v>
      </c>
      <c r="V94" s="43">
        <f t="shared" si="131"/>
        <v>0.26435974318181821</v>
      </c>
      <c r="W94" s="35">
        <f t="shared" si="124"/>
        <v>79968.798249999993</v>
      </c>
      <c r="X94" s="1"/>
      <c r="Y94" s="269">
        <v>988.09</v>
      </c>
      <c r="Z94" s="266">
        <v>988.09</v>
      </c>
      <c r="AA94" s="252">
        <f t="shared" si="47"/>
        <v>109011.91</v>
      </c>
      <c r="AB94" s="268"/>
      <c r="AC94" s="252">
        <f t="shared" si="79"/>
        <v>29069.545250000003</v>
      </c>
      <c r="AD94" s="262">
        <f t="shared" si="29"/>
        <v>0.26426859318181822</v>
      </c>
      <c r="AE94" s="255">
        <f t="shared" si="20"/>
        <v>79942.364750000008</v>
      </c>
      <c r="AF94" s="1"/>
      <c r="AG94" s="165">
        <v>988.09</v>
      </c>
      <c r="AH94" s="44">
        <v>988.09</v>
      </c>
      <c r="AI94" s="1">
        <f t="shared" si="107"/>
        <v>109011.91</v>
      </c>
      <c r="AJ94" s="1"/>
      <c r="AK94" s="1">
        <f t="shared" si="110"/>
        <v>28422.729402000001</v>
      </c>
      <c r="AL94" s="171">
        <f t="shared" si="98"/>
        <v>0.25838844910909092</v>
      </c>
      <c r="AM94" s="35">
        <f t="shared" si="125"/>
        <v>80589.180598000006</v>
      </c>
      <c r="AN94" s="1"/>
      <c r="AO94" s="40">
        <v>988.09</v>
      </c>
      <c r="AP94" s="163">
        <v>2932</v>
      </c>
      <c r="AQ94" s="1">
        <f t="shared" si="43"/>
        <v>107068</v>
      </c>
      <c r="AR94" s="1">
        <f t="shared" si="102"/>
        <v>27617.294260443912</v>
      </c>
      <c r="AS94" s="171">
        <f t="shared" si="32"/>
        <v>0.25106631145858099</v>
      </c>
      <c r="AT94" s="35">
        <f t="shared" si="117"/>
        <v>81394.615739556088</v>
      </c>
      <c r="AU94" s="1"/>
      <c r="AV94" s="40">
        <v>988.09</v>
      </c>
      <c r="AW94" s="163">
        <v>2932</v>
      </c>
      <c r="AX94" s="1">
        <f t="shared" si="69"/>
        <v>107068</v>
      </c>
      <c r="AY94" s="1">
        <f t="shared" si="132"/>
        <v>31824.094260443911</v>
      </c>
      <c r="AZ94" s="171">
        <f t="shared" si="71"/>
        <v>0.28930994782221736</v>
      </c>
      <c r="BA94" s="35">
        <f t="shared" si="72"/>
        <v>77187.815739556099</v>
      </c>
      <c r="BB94" s="1"/>
    </row>
    <row r="95" spans="6:54" x14ac:dyDescent="0.25">
      <c r="F95" s="1"/>
      <c r="G95" s="1">
        <f t="shared" si="134"/>
        <v>1560000</v>
      </c>
      <c r="I95" s="3">
        <v>130000</v>
      </c>
      <c r="J95" s="1"/>
      <c r="K95" s="165">
        <v>951.63</v>
      </c>
      <c r="L95" s="44">
        <v>951.63</v>
      </c>
      <c r="M95" s="1">
        <f t="shared" si="45"/>
        <v>129048.37</v>
      </c>
      <c r="N95" s="1">
        <f t="shared" si="40"/>
        <v>34592.301749999999</v>
      </c>
      <c r="O95" s="43">
        <f t="shared" si="127"/>
        <v>0.26609462884615381</v>
      </c>
      <c r="P95" s="35">
        <f t="shared" si="96"/>
        <v>94456.068249999997</v>
      </c>
      <c r="Q95" s="1"/>
      <c r="R95" s="165">
        <v>951.63</v>
      </c>
      <c r="S95" s="44">
        <v>951.63</v>
      </c>
      <c r="T95" s="1">
        <f t="shared" si="46"/>
        <v>129048.37</v>
      </c>
      <c r="U95" s="1">
        <f t="shared" si="41"/>
        <v>34579.571749999996</v>
      </c>
      <c r="V95" s="43">
        <f t="shared" si="131"/>
        <v>0.26599670576923073</v>
      </c>
      <c r="W95" s="35">
        <f t="shared" si="124"/>
        <v>94468.798249999993</v>
      </c>
      <c r="X95" s="1"/>
      <c r="Y95" s="269">
        <v>988.09</v>
      </c>
      <c r="Z95" s="266">
        <v>988.09</v>
      </c>
      <c r="AA95" s="252">
        <f t="shared" si="47"/>
        <v>129011.91</v>
      </c>
      <c r="AB95" s="268"/>
      <c r="AC95" s="252">
        <f t="shared" si="79"/>
        <v>34569.545250000003</v>
      </c>
      <c r="AD95" s="262">
        <f t="shared" si="29"/>
        <v>0.26591957884615386</v>
      </c>
      <c r="AE95" s="255">
        <f t="shared" si="20"/>
        <v>94442.364750000008</v>
      </c>
      <c r="AF95" s="1"/>
      <c r="AG95" s="165">
        <v>988.09</v>
      </c>
      <c r="AH95" s="44">
        <v>988.09</v>
      </c>
      <c r="AI95" s="1">
        <f t="shared" si="107"/>
        <v>129011.91</v>
      </c>
      <c r="AJ95" s="1"/>
      <c r="AK95" s="1">
        <f t="shared" si="110"/>
        <v>33922.729402000004</v>
      </c>
      <c r="AL95" s="171">
        <f t="shared" si="98"/>
        <v>0.26094407232307698</v>
      </c>
      <c r="AM95" s="35">
        <f t="shared" si="125"/>
        <v>95089.180598000006</v>
      </c>
      <c r="AN95" s="1"/>
      <c r="AO95" s="40">
        <v>988.09</v>
      </c>
      <c r="AP95" s="163">
        <v>2932</v>
      </c>
      <c r="AQ95" s="1">
        <f t="shared" si="43"/>
        <v>127068</v>
      </c>
      <c r="AR95" s="1">
        <f t="shared" si="102"/>
        <v>33117.294260443916</v>
      </c>
      <c r="AS95" s="171">
        <f t="shared" si="32"/>
        <v>0.25474841738803011</v>
      </c>
      <c r="AT95" s="35">
        <f t="shared" si="117"/>
        <v>95894.615739556088</v>
      </c>
      <c r="AU95" s="1"/>
      <c r="AV95" s="40">
        <v>988.09</v>
      </c>
      <c r="AW95" s="163">
        <v>2932</v>
      </c>
      <c r="AX95" s="1">
        <f t="shared" si="69"/>
        <v>127068</v>
      </c>
      <c r="AY95" s="1">
        <f t="shared" si="132"/>
        <v>39324.094260443911</v>
      </c>
      <c r="AZ95" s="171">
        <f t="shared" si="71"/>
        <v>0.3024930327726455</v>
      </c>
      <c r="BA95" s="35">
        <f t="shared" si="72"/>
        <v>89687.815739556099</v>
      </c>
      <c r="BB95" s="1"/>
    </row>
    <row r="96" spans="6:54" x14ac:dyDescent="0.25">
      <c r="G96" s="1">
        <f t="shared" si="134"/>
        <v>1800000</v>
      </c>
      <c r="I96" s="3">
        <v>150000</v>
      </c>
      <c r="J96" s="1"/>
      <c r="K96" s="165">
        <v>951.63</v>
      </c>
      <c r="L96" s="44">
        <v>951.63</v>
      </c>
      <c r="M96" s="1">
        <f t="shared" si="45"/>
        <v>149048.37</v>
      </c>
      <c r="N96" s="1">
        <f t="shared" si="40"/>
        <v>40092.301749999999</v>
      </c>
      <c r="O96" s="43">
        <f t="shared" si="127"/>
        <v>0.26728201166666665</v>
      </c>
      <c r="P96" s="35">
        <f t="shared" si="96"/>
        <v>108956.06825</v>
      </c>
      <c r="Q96" s="1"/>
      <c r="R96" s="165">
        <v>951.63</v>
      </c>
      <c r="S96" s="44">
        <v>951.63</v>
      </c>
      <c r="T96" s="1">
        <f t="shared" si="46"/>
        <v>149048.37</v>
      </c>
      <c r="U96" s="1">
        <f t="shared" si="41"/>
        <v>40079.571749999996</v>
      </c>
      <c r="V96" s="43">
        <f t="shared" si="131"/>
        <v>0.26719714499999997</v>
      </c>
      <c r="W96" s="35">
        <f t="shared" si="124"/>
        <v>108968.79824999999</v>
      </c>
      <c r="X96" s="1"/>
      <c r="Y96" s="269">
        <v>988.09</v>
      </c>
      <c r="Z96" s="266">
        <v>988.09</v>
      </c>
      <c r="AA96" s="252">
        <f t="shared" si="47"/>
        <v>149011.91</v>
      </c>
      <c r="AB96" s="268"/>
      <c r="AC96" s="252">
        <f t="shared" si="79"/>
        <v>40069.545250000003</v>
      </c>
      <c r="AD96" s="262">
        <f t="shared" si="29"/>
        <v>0.26713030166666668</v>
      </c>
      <c r="AE96" s="255">
        <f t="shared" si="20"/>
        <v>108942.36475000001</v>
      </c>
      <c r="AF96" s="1"/>
      <c r="AG96" s="165">
        <v>988.09</v>
      </c>
      <c r="AH96" s="44">
        <v>988.09</v>
      </c>
      <c r="AI96" s="1">
        <f t="shared" si="107"/>
        <v>149011.91</v>
      </c>
      <c r="AJ96" s="1"/>
      <c r="AK96" s="1">
        <f t="shared" si="110"/>
        <v>39422.729402000004</v>
      </c>
      <c r="AL96" s="171">
        <f t="shared" si="98"/>
        <v>0.26281819601333334</v>
      </c>
      <c r="AM96" s="35">
        <f t="shared" si="125"/>
        <v>109589.18059800001</v>
      </c>
      <c r="AN96" s="1"/>
      <c r="AO96" s="40">
        <v>988.09</v>
      </c>
      <c r="AP96" s="163">
        <v>2932</v>
      </c>
      <c r="AQ96" s="1">
        <f t="shared" si="43"/>
        <v>147068</v>
      </c>
      <c r="AR96" s="1">
        <f t="shared" si="102"/>
        <v>38617.294260443916</v>
      </c>
      <c r="AS96" s="171">
        <f t="shared" si="32"/>
        <v>0.25744862840295946</v>
      </c>
      <c r="AT96" s="35">
        <f t="shared" si="117"/>
        <v>110394.61573955609</v>
      </c>
      <c r="AU96" s="1"/>
      <c r="AV96" s="40">
        <v>988.09</v>
      </c>
      <c r="AW96" s="163">
        <v>2932</v>
      </c>
      <c r="AX96" s="1">
        <f t="shared" si="69"/>
        <v>147068</v>
      </c>
      <c r="AY96" s="1">
        <f t="shared" ref="AY96:AY103" si="135">AX96*$BF$37-$BG$37</f>
        <v>47677.494260443913</v>
      </c>
      <c r="AZ96" s="171">
        <f t="shared" si="71"/>
        <v>0.31784996173629276</v>
      </c>
      <c r="BA96" s="35">
        <f t="shared" si="72"/>
        <v>101334.41573955609</v>
      </c>
      <c r="BB96" s="1"/>
    </row>
    <row r="97" spans="6:54" x14ac:dyDescent="0.25">
      <c r="F97" s="1"/>
      <c r="G97" s="1">
        <f t="shared" si="134"/>
        <v>2400000</v>
      </c>
      <c r="I97" s="3">
        <v>200000</v>
      </c>
      <c r="J97" s="1"/>
      <c r="K97" s="165">
        <v>951.63</v>
      </c>
      <c r="L97" s="44">
        <v>951.63</v>
      </c>
      <c r="M97" s="1">
        <f t="shared" si="45"/>
        <v>199048.37</v>
      </c>
      <c r="N97" s="1">
        <f t="shared" si="40"/>
        <v>53842.301750000006</v>
      </c>
      <c r="O97" s="43">
        <f t="shared" si="127"/>
        <v>0.26921150875000005</v>
      </c>
      <c r="P97" s="35">
        <f t="shared" si="96"/>
        <v>145206.06824999998</v>
      </c>
      <c r="Q97" s="1"/>
      <c r="R97" s="165">
        <v>951.63</v>
      </c>
      <c r="S97" s="44">
        <v>951.63</v>
      </c>
      <c r="T97" s="1">
        <f t="shared" si="46"/>
        <v>199048.37</v>
      </c>
      <c r="U97" s="1">
        <f t="shared" si="41"/>
        <v>53829.571750000003</v>
      </c>
      <c r="V97" s="43">
        <f t="shared" si="131"/>
        <v>0.26914785875000002</v>
      </c>
      <c r="W97" s="35">
        <f t="shared" si="124"/>
        <v>145218.79824999999</v>
      </c>
      <c r="X97" s="1"/>
      <c r="Y97" s="269">
        <v>988.09</v>
      </c>
      <c r="Z97" s="266">
        <v>988.09</v>
      </c>
      <c r="AA97" s="252">
        <f t="shared" si="47"/>
        <v>199011.91</v>
      </c>
      <c r="AB97" s="268"/>
      <c r="AC97" s="252">
        <f t="shared" si="79"/>
        <v>53819.545250000003</v>
      </c>
      <c r="AD97" s="262">
        <f t="shared" si="29"/>
        <v>0.26909772625</v>
      </c>
      <c r="AE97" s="255">
        <f t="shared" ref="AE97:AE102" si="136">$I97-Y97-AC97</f>
        <v>145192.36475000001</v>
      </c>
      <c r="AF97" s="1"/>
      <c r="AG97" s="165">
        <v>988.09</v>
      </c>
      <c r="AH97" s="44">
        <v>988.09</v>
      </c>
      <c r="AI97" s="1">
        <f t="shared" si="107"/>
        <v>199011.91</v>
      </c>
      <c r="AJ97" s="1"/>
      <c r="AK97" s="1">
        <f t="shared" si="110"/>
        <v>53172.729402000004</v>
      </c>
      <c r="AL97" s="171">
        <f t="shared" si="98"/>
        <v>0.26586364701000004</v>
      </c>
      <c r="AM97" s="35">
        <f t="shared" si="125"/>
        <v>145839.18059800001</v>
      </c>
      <c r="AN97" s="1"/>
      <c r="AO97" s="40">
        <v>988.09</v>
      </c>
      <c r="AP97" s="163">
        <v>2932</v>
      </c>
      <c r="AQ97" s="1">
        <f t="shared" si="43"/>
        <v>197068</v>
      </c>
      <c r="AR97" s="1">
        <f t="shared" si="102"/>
        <v>52367.294260443916</v>
      </c>
      <c r="AS97" s="171">
        <f t="shared" si="32"/>
        <v>0.2618364713022196</v>
      </c>
      <c r="AT97" s="35">
        <f t="shared" si="117"/>
        <v>146644.61573955609</v>
      </c>
      <c r="AU97" s="1"/>
      <c r="AV97" s="40">
        <v>988.09</v>
      </c>
      <c r="AW97" s="163">
        <v>2932</v>
      </c>
      <c r="AX97" s="1">
        <f t="shared" si="69"/>
        <v>197068</v>
      </c>
      <c r="AY97" s="1">
        <f t="shared" si="135"/>
        <v>68927.494260443913</v>
      </c>
      <c r="AZ97" s="171">
        <f t="shared" si="71"/>
        <v>0.34463747130221956</v>
      </c>
      <c r="BA97" s="35">
        <f t="shared" si="72"/>
        <v>130084.41573955609</v>
      </c>
      <c r="BB97" s="1"/>
    </row>
    <row r="98" spans="6:54" x14ac:dyDescent="0.25">
      <c r="G98" s="1">
        <f t="shared" si="134"/>
        <v>3000000</v>
      </c>
      <c r="I98" s="3">
        <v>250000</v>
      </c>
      <c r="J98" s="1"/>
      <c r="K98" s="165">
        <v>951.63</v>
      </c>
      <c r="L98" s="44">
        <v>951.63</v>
      </c>
      <c r="M98" s="1">
        <f t="shared" si="45"/>
        <v>249048.37</v>
      </c>
      <c r="N98" s="1">
        <f t="shared" si="40"/>
        <v>67592.301749999999</v>
      </c>
      <c r="O98" s="43">
        <f t="shared" si="127"/>
        <v>0.270369207</v>
      </c>
      <c r="P98" s="35">
        <f t="shared" si="96"/>
        <v>181456.06825000001</v>
      </c>
      <c r="Q98" s="1"/>
      <c r="R98" s="165">
        <v>951.63</v>
      </c>
      <c r="S98" s="44">
        <v>951.63</v>
      </c>
      <c r="T98" s="1">
        <f t="shared" si="46"/>
        <v>249048.37</v>
      </c>
      <c r="U98" s="1">
        <f t="shared" si="41"/>
        <v>67579.571750000003</v>
      </c>
      <c r="V98" s="43">
        <f t="shared" si="131"/>
        <v>0.27031828699999999</v>
      </c>
      <c r="W98" s="35">
        <f t="shared" si="124"/>
        <v>181468.79824999999</v>
      </c>
      <c r="X98" s="1"/>
      <c r="Y98" s="269">
        <v>988.09</v>
      </c>
      <c r="Z98" s="266">
        <v>988.09</v>
      </c>
      <c r="AA98" s="252">
        <f t="shared" si="47"/>
        <v>249011.91</v>
      </c>
      <c r="AB98" s="268"/>
      <c r="AC98" s="252">
        <f t="shared" si="79"/>
        <v>67569.54525000001</v>
      </c>
      <c r="AD98" s="262">
        <f t="shared" si="29"/>
        <v>0.27027818100000006</v>
      </c>
      <c r="AE98" s="255">
        <f t="shared" si="136"/>
        <v>181442.36475000001</v>
      </c>
      <c r="AF98" s="1"/>
      <c r="AG98" s="165">
        <v>988.09</v>
      </c>
      <c r="AH98" s="44">
        <v>988.09</v>
      </c>
      <c r="AI98" s="1">
        <f t="shared" si="107"/>
        <v>249011.91</v>
      </c>
      <c r="AJ98" s="1"/>
      <c r="AK98" s="1">
        <f t="shared" si="110"/>
        <v>66922.729402000012</v>
      </c>
      <c r="AL98" s="171">
        <f t="shared" si="98"/>
        <v>0.26769091760800007</v>
      </c>
      <c r="AM98" s="35">
        <f t="shared" si="125"/>
        <v>182089.18059800001</v>
      </c>
      <c r="AN98" s="1"/>
      <c r="AO98" s="40">
        <v>988.09</v>
      </c>
      <c r="AP98" s="163">
        <v>2932</v>
      </c>
      <c r="AQ98" s="1">
        <f t="shared" si="43"/>
        <v>247068</v>
      </c>
      <c r="AR98" s="1">
        <f t="shared" si="102"/>
        <v>66117.29426044393</v>
      </c>
      <c r="AS98" s="171">
        <f t="shared" si="32"/>
        <v>0.26446917704177575</v>
      </c>
      <c r="AT98" s="35">
        <f t="shared" si="117"/>
        <v>182894.61573955609</v>
      </c>
      <c r="AU98" s="1"/>
      <c r="AV98" s="40">
        <v>988.09</v>
      </c>
      <c r="AW98" s="163">
        <v>2932</v>
      </c>
      <c r="AX98" s="1">
        <f t="shared" si="69"/>
        <v>247068</v>
      </c>
      <c r="AY98" s="1">
        <f t="shared" si="135"/>
        <v>90177.494260443913</v>
      </c>
      <c r="AZ98" s="171">
        <f t="shared" si="71"/>
        <v>0.36070997704177565</v>
      </c>
      <c r="BA98" s="35">
        <f t="shared" si="72"/>
        <v>158834.41573955608</v>
      </c>
      <c r="BB98" s="1"/>
    </row>
    <row r="99" spans="6:54" x14ac:dyDescent="0.25">
      <c r="G99" s="1">
        <f t="shared" si="134"/>
        <v>3600000</v>
      </c>
      <c r="I99" s="3">
        <v>300000</v>
      </c>
      <c r="J99" s="1"/>
      <c r="K99" s="165">
        <v>951.63</v>
      </c>
      <c r="L99" s="44">
        <v>951.63</v>
      </c>
      <c r="M99" s="1">
        <f t="shared" si="45"/>
        <v>299048.37</v>
      </c>
      <c r="N99" s="1">
        <f t="shared" si="40"/>
        <v>81342.301749999999</v>
      </c>
      <c r="O99" s="43">
        <f t="shared" si="127"/>
        <v>0.27114100583333334</v>
      </c>
      <c r="P99" s="35">
        <f t="shared" si="96"/>
        <v>217706.06825000001</v>
      </c>
      <c r="Q99" s="1"/>
      <c r="R99" s="165">
        <v>951.63</v>
      </c>
      <c r="S99" s="44">
        <v>951.63</v>
      </c>
      <c r="T99" s="1">
        <f t="shared" si="46"/>
        <v>299048.37</v>
      </c>
      <c r="U99" s="1">
        <f t="shared" si="41"/>
        <v>81329.571750000003</v>
      </c>
      <c r="V99" s="43">
        <f t="shared" si="131"/>
        <v>0.27109857250000002</v>
      </c>
      <c r="W99" s="35">
        <f t="shared" si="124"/>
        <v>217718.79824999999</v>
      </c>
      <c r="X99" s="1"/>
      <c r="Y99" s="269">
        <v>988.09</v>
      </c>
      <c r="Z99" s="266">
        <v>988.09</v>
      </c>
      <c r="AA99" s="252">
        <f t="shared" si="47"/>
        <v>299011.90999999997</v>
      </c>
      <c r="AB99" s="268"/>
      <c r="AC99" s="252">
        <f t="shared" si="79"/>
        <v>81319.54525000001</v>
      </c>
      <c r="AD99" s="262">
        <f t="shared" si="29"/>
        <v>0.27106515083333338</v>
      </c>
      <c r="AE99" s="255">
        <f t="shared" si="136"/>
        <v>217692.36474999995</v>
      </c>
      <c r="AF99" s="1"/>
      <c r="AG99" s="165">
        <v>988.09</v>
      </c>
      <c r="AH99" s="44">
        <v>988.09</v>
      </c>
      <c r="AI99" s="1">
        <f t="shared" si="107"/>
        <v>299011.90999999997</v>
      </c>
      <c r="AJ99" s="1"/>
      <c r="AK99" s="1">
        <f t="shared" si="110"/>
        <v>80672.729402000012</v>
      </c>
      <c r="AL99" s="171">
        <f t="shared" si="98"/>
        <v>0.26890909800666668</v>
      </c>
      <c r="AM99" s="35">
        <f t="shared" si="125"/>
        <v>218339.18059799995</v>
      </c>
      <c r="AO99" s="40">
        <v>988.09</v>
      </c>
      <c r="AP99" s="163">
        <v>2932</v>
      </c>
      <c r="AQ99" s="1">
        <f t="shared" si="43"/>
        <v>297068</v>
      </c>
      <c r="AR99" s="1">
        <f t="shared" si="102"/>
        <v>79867.29426044393</v>
      </c>
      <c r="AS99" s="171">
        <f t="shared" ref="AS99:AS103" si="137">AR99/$I99</f>
        <v>0.26622431420147979</v>
      </c>
      <c r="AT99" s="35">
        <f t="shared" ref="AT99:AT103" si="138">$I99-AO99-AR99</f>
        <v>219144.61573955603</v>
      </c>
      <c r="AV99" s="40">
        <v>988.09</v>
      </c>
      <c r="AW99" s="163">
        <v>2932</v>
      </c>
      <c r="AX99" s="1">
        <f t="shared" si="69"/>
        <v>297068</v>
      </c>
      <c r="AY99" s="1">
        <f t="shared" si="135"/>
        <v>111427.49426044391</v>
      </c>
      <c r="AZ99" s="171">
        <f t="shared" si="71"/>
        <v>0.3714249808681464</v>
      </c>
      <c r="BA99" s="35">
        <f t="shared" si="72"/>
        <v>187584.41573955608</v>
      </c>
      <c r="BB99" s="1"/>
    </row>
    <row r="100" spans="6:54" x14ac:dyDescent="0.25">
      <c r="G100" s="1">
        <f t="shared" si="134"/>
        <v>4200000</v>
      </c>
      <c r="I100" s="3">
        <v>350000</v>
      </c>
      <c r="J100" s="1"/>
      <c r="K100" s="165">
        <v>951.63</v>
      </c>
      <c r="L100" s="44">
        <v>951.63</v>
      </c>
      <c r="M100" s="1">
        <f t="shared" si="45"/>
        <v>349048.37</v>
      </c>
      <c r="N100" s="1">
        <f t="shared" si="40"/>
        <v>95092.301750000013</v>
      </c>
      <c r="O100" s="43">
        <f t="shared" si="127"/>
        <v>0.27169229071428574</v>
      </c>
      <c r="P100" s="35">
        <f t="shared" si="96"/>
        <v>253956.06824999998</v>
      </c>
      <c r="Q100" s="1"/>
      <c r="R100" s="165">
        <v>951.63</v>
      </c>
      <c r="S100" s="44">
        <v>951.63</v>
      </c>
      <c r="T100" s="1">
        <f t="shared" si="46"/>
        <v>349048.37</v>
      </c>
      <c r="U100" s="1">
        <f t="shared" si="41"/>
        <v>95079.571750000017</v>
      </c>
      <c r="V100" s="43">
        <f t="shared" si="131"/>
        <v>0.27165591928571431</v>
      </c>
      <c r="W100" s="35">
        <f t="shared" si="124"/>
        <v>253968.79824999999</v>
      </c>
      <c r="X100" s="1"/>
      <c r="Y100" s="269">
        <v>988.09</v>
      </c>
      <c r="Z100" s="266">
        <v>988.09</v>
      </c>
      <c r="AA100" s="252">
        <f t="shared" si="47"/>
        <v>349011.91</v>
      </c>
      <c r="AB100" s="268"/>
      <c r="AC100" s="252">
        <f t="shared" si="79"/>
        <v>95069.54525000001</v>
      </c>
      <c r="AD100" s="262">
        <f t="shared" si="29"/>
        <v>0.27162727214285715</v>
      </c>
      <c r="AE100" s="255">
        <f t="shared" si="136"/>
        <v>253942.36474999995</v>
      </c>
      <c r="AF100" s="1"/>
      <c r="AG100" s="165">
        <v>988.09</v>
      </c>
      <c r="AH100" s="44">
        <v>988.09</v>
      </c>
      <c r="AI100" s="1">
        <f t="shared" si="107"/>
        <v>349011.91</v>
      </c>
      <c r="AJ100" s="1"/>
      <c r="AK100" s="1">
        <f t="shared" si="110"/>
        <v>94422.729402000012</v>
      </c>
      <c r="AL100" s="171">
        <f t="shared" si="98"/>
        <v>0.26977922686285716</v>
      </c>
      <c r="AM100" s="35">
        <f t="shared" si="125"/>
        <v>254589.18059799995</v>
      </c>
      <c r="AO100" s="40">
        <v>988.09</v>
      </c>
      <c r="AP100" s="163">
        <v>2932</v>
      </c>
      <c r="AQ100" s="1">
        <f t="shared" ref="AQ100:AQ103" si="139">$I100-AP100</f>
        <v>347068</v>
      </c>
      <c r="AR100" s="1">
        <f t="shared" si="102"/>
        <v>93617.29426044393</v>
      </c>
      <c r="AS100" s="171">
        <f t="shared" si="137"/>
        <v>0.2674779836012684</v>
      </c>
      <c r="AT100" s="35">
        <f t="shared" si="138"/>
        <v>255394.61573955603</v>
      </c>
      <c r="AV100" s="40">
        <v>988.09</v>
      </c>
      <c r="AW100" s="163">
        <v>2932</v>
      </c>
      <c r="AX100" s="1">
        <f t="shared" si="69"/>
        <v>347068</v>
      </c>
      <c r="AY100" s="1">
        <f t="shared" si="135"/>
        <v>132677.4942604439</v>
      </c>
      <c r="AZ100" s="171">
        <f t="shared" si="71"/>
        <v>0.37907855502983973</v>
      </c>
      <c r="BA100" s="35">
        <f t="shared" si="72"/>
        <v>216334.41573955608</v>
      </c>
      <c r="BB100" s="1"/>
    </row>
    <row r="101" spans="6:54" x14ac:dyDescent="0.25">
      <c r="G101" s="1">
        <f t="shared" si="134"/>
        <v>4800000</v>
      </c>
      <c r="I101" s="3">
        <v>400000</v>
      </c>
      <c r="J101" s="1"/>
      <c r="K101" s="165">
        <v>951.63</v>
      </c>
      <c r="L101" s="44">
        <v>951.63</v>
      </c>
      <c r="M101" s="1">
        <f t="shared" si="45"/>
        <v>399048.37</v>
      </c>
      <c r="N101" s="1">
        <f t="shared" si="40"/>
        <v>108842.30175000001</v>
      </c>
      <c r="O101" s="43">
        <f t="shared" si="127"/>
        <v>0.27210575437500001</v>
      </c>
      <c r="P101" s="35">
        <f t="shared" si="96"/>
        <v>290206.06825000001</v>
      </c>
      <c r="Q101" s="1"/>
      <c r="R101" s="165">
        <v>951.63</v>
      </c>
      <c r="S101" s="44">
        <v>951.63</v>
      </c>
      <c r="T101" s="1">
        <f t="shared" si="46"/>
        <v>399048.37</v>
      </c>
      <c r="U101" s="1">
        <f t="shared" si="41"/>
        <v>108829.57175000002</v>
      </c>
      <c r="V101" s="43">
        <f t="shared" si="131"/>
        <v>0.27207392937500002</v>
      </c>
      <c r="W101" s="35">
        <f t="shared" si="124"/>
        <v>290218.79824999999</v>
      </c>
      <c r="X101" s="1"/>
      <c r="Y101" s="269">
        <v>988.09</v>
      </c>
      <c r="Z101" s="266">
        <v>988.09</v>
      </c>
      <c r="AA101" s="252">
        <f t="shared" si="47"/>
        <v>399011.91</v>
      </c>
      <c r="AB101" s="268"/>
      <c r="AC101" s="252">
        <f t="shared" si="79"/>
        <v>108819.54525000001</v>
      </c>
      <c r="AD101" s="262">
        <f t="shared" si="29"/>
        <v>0.27204886312500004</v>
      </c>
      <c r="AE101" s="255">
        <f t="shared" si="136"/>
        <v>290192.36474999995</v>
      </c>
      <c r="AF101" s="1"/>
      <c r="AG101" s="165">
        <v>988.09</v>
      </c>
      <c r="AH101" s="44">
        <v>988.09</v>
      </c>
      <c r="AI101" s="1">
        <f t="shared" si="107"/>
        <v>399011.91</v>
      </c>
      <c r="AJ101" s="1"/>
      <c r="AK101" s="1">
        <f t="shared" si="110"/>
        <v>108172.72940200001</v>
      </c>
      <c r="AL101" s="171">
        <f t="shared" si="98"/>
        <v>0.270431823505</v>
      </c>
      <c r="AM101" s="35">
        <f t="shared" si="125"/>
        <v>290839.18059799995</v>
      </c>
      <c r="AO101" s="40">
        <v>988.09</v>
      </c>
      <c r="AP101" s="163">
        <v>2932</v>
      </c>
      <c r="AQ101" s="1">
        <f t="shared" si="139"/>
        <v>397068</v>
      </c>
      <c r="AR101" s="1">
        <f t="shared" si="102"/>
        <v>107367.29426044393</v>
      </c>
      <c r="AS101" s="171">
        <f t="shared" si="137"/>
        <v>0.26841823565110984</v>
      </c>
      <c r="AT101" s="35">
        <f t="shared" si="138"/>
        <v>291644.61573955603</v>
      </c>
      <c r="AV101" s="40">
        <v>988.09</v>
      </c>
      <c r="AW101" s="163">
        <v>2932</v>
      </c>
      <c r="AX101" s="1">
        <f t="shared" si="69"/>
        <v>397068</v>
      </c>
      <c r="AY101" s="1">
        <f t="shared" si="135"/>
        <v>153927.4942604439</v>
      </c>
      <c r="AZ101" s="171">
        <f t="shared" si="71"/>
        <v>0.38481873565110974</v>
      </c>
      <c r="BA101" s="35">
        <f t="shared" si="72"/>
        <v>245084.41573955608</v>
      </c>
      <c r="BB101" s="1"/>
    </row>
    <row r="102" spans="6:54" x14ac:dyDescent="0.25">
      <c r="G102" s="1">
        <f t="shared" si="134"/>
        <v>5400000</v>
      </c>
      <c r="I102" s="3">
        <v>450000</v>
      </c>
      <c r="J102" s="1"/>
      <c r="K102" s="165">
        <v>951.63</v>
      </c>
      <c r="L102" s="44">
        <v>951.63</v>
      </c>
      <c r="M102" s="1">
        <f t="shared" si="45"/>
        <v>449048.37</v>
      </c>
      <c r="N102" s="1">
        <f t="shared" si="40"/>
        <v>122592.30175000001</v>
      </c>
      <c r="O102" s="43">
        <f t="shared" si="127"/>
        <v>0.27242733722222223</v>
      </c>
      <c r="P102" s="35">
        <f t="shared" si="96"/>
        <v>326456.06825000001</v>
      </c>
      <c r="Q102" s="1"/>
      <c r="R102" s="165">
        <v>951.63</v>
      </c>
      <c r="S102" s="44">
        <v>951.63</v>
      </c>
      <c r="T102" s="1">
        <f t="shared" si="46"/>
        <v>449048.37</v>
      </c>
      <c r="U102" s="1">
        <f t="shared" si="41"/>
        <v>122579.57175000002</v>
      </c>
      <c r="V102" s="43">
        <f t="shared" si="131"/>
        <v>0.27239904833333339</v>
      </c>
      <c r="W102" s="35">
        <f t="shared" si="124"/>
        <v>326468.79824999999</v>
      </c>
      <c r="X102" s="1"/>
      <c r="Y102" s="269">
        <v>988.09</v>
      </c>
      <c r="Z102" s="266">
        <v>988.09</v>
      </c>
      <c r="AA102" s="252">
        <f t="shared" si="47"/>
        <v>449011.91</v>
      </c>
      <c r="AB102" s="268"/>
      <c r="AC102" s="252">
        <f t="shared" si="79"/>
        <v>122569.54525000001</v>
      </c>
      <c r="AD102" s="262">
        <f t="shared" si="29"/>
        <v>0.27237676722222226</v>
      </c>
      <c r="AE102" s="255">
        <f t="shared" si="136"/>
        <v>326442.36474999995</v>
      </c>
      <c r="AF102" s="1"/>
      <c r="AG102" s="165">
        <v>988.09</v>
      </c>
      <c r="AH102" s="44">
        <v>988.09</v>
      </c>
      <c r="AI102" s="1">
        <f t="shared" si="107"/>
        <v>449011.91</v>
      </c>
      <c r="AJ102" s="1"/>
      <c r="AK102" s="1">
        <f t="shared" si="110"/>
        <v>121922.72940200001</v>
      </c>
      <c r="AL102" s="171">
        <f t="shared" si="98"/>
        <v>0.27093939867111116</v>
      </c>
      <c r="AM102" s="35">
        <f t="shared" si="125"/>
        <v>327089.18059799995</v>
      </c>
      <c r="AO102" s="40">
        <v>988.09</v>
      </c>
      <c r="AP102" s="163">
        <v>2932</v>
      </c>
      <c r="AQ102" s="1">
        <f t="shared" si="139"/>
        <v>447068</v>
      </c>
      <c r="AR102" s="1">
        <f t="shared" si="102"/>
        <v>121117.29426044393</v>
      </c>
      <c r="AS102" s="171">
        <f t="shared" si="137"/>
        <v>0.26914954280098652</v>
      </c>
      <c r="AT102" s="35">
        <f t="shared" si="138"/>
        <v>327894.61573955603</v>
      </c>
      <c r="AV102" s="40">
        <v>988.09</v>
      </c>
      <c r="AW102" s="163">
        <v>2932</v>
      </c>
      <c r="AX102" s="1">
        <f t="shared" si="69"/>
        <v>447068</v>
      </c>
      <c r="AY102" s="1">
        <f t="shared" si="135"/>
        <v>175177.4942604439</v>
      </c>
      <c r="AZ102" s="171">
        <f t="shared" si="71"/>
        <v>0.38928332057876419</v>
      </c>
      <c r="BA102" s="35">
        <f t="shared" si="72"/>
        <v>273834.41573955608</v>
      </c>
      <c r="BB102" s="1"/>
    </row>
    <row r="103" spans="6:54" ht="15.75" thickBot="1" x14ac:dyDescent="0.3">
      <c r="G103" s="1">
        <f t="shared" si="134"/>
        <v>6000000</v>
      </c>
      <c r="I103" s="4">
        <v>500000</v>
      </c>
      <c r="J103" s="1"/>
      <c r="K103" s="166">
        <v>951.63</v>
      </c>
      <c r="L103" s="45">
        <v>951.63</v>
      </c>
      <c r="M103" s="36">
        <f t="shared" si="45"/>
        <v>499048.37</v>
      </c>
      <c r="N103" s="36">
        <f t="shared" si="40"/>
        <v>136342.30175000001</v>
      </c>
      <c r="O103" s="46">
        <f t="shared" si="127"/>
        <v>0.27268460350000001</v>
      </c>
      <c r="P103" s="37">
        <f t="shared" si="96"/>
        <v>362706.06825000001</v>
      </c>
      <c r="Q103" s="1"/>
      <c r="R103" s="166">
        <v>951.63</v>
      </c>
      <c r="S103" s="45">
        <v>951.63</v>
      </c>
      <c r="T103" s="36">
        <f t="shared" si="46"/>
        <v>499048.37</v>
      </c>
      <c r="U103" s="36">
        <f t="shared" si="41"/>
        <v>136329.57175</v>
      </c>
      <c r="V103" s="46">
        <f t="shared" si="131"/>
        <v>0.27265914349999998</v>
      </c>
      <c r="W103" s="37">
        <f t="shared" si="124"/>
        <v>362718.79824999999</v>
      </c>
      <c r="X103" s="1"/>
      <c r="Y103" s="270">
        <v>988.09</v>
      </c>
      <c r="Z103" s="271">
        <v>988.09</v>
      </c>
      <c r="AA103" s="272">
        <f t="shared" ref="AA103" si="140">$I103-Z103</f>
        <v>499011.91</v>
      </c>
      <c r="AB103" s="272"/>
      <c r="AC103" s="272">
        <f t="shared" ref="AC103" si="141">AA103*$E$22-$F$22</f>
        <v>136319.54525</v>
      </c>
      <c r="AD103" s="273">
        <f t="shared" ref="AD103" si="142">AC103/$I103</f>
        <v>0.27263909050000001</v>
      </c>
      <c r="AE103" s="274">
        <f t="shared" ref="AE103" si="143">$I103-Y103-AC103</f>
        <v>362692.36474999995</v>
      </c>
      <c r="AF103" s="1"/>
      <c r="AG103" s="166">
        <v>988.09</v>
      </c>
      <c r="AH103" s="45">
        <v>988.09</v>
      </c>
      <c r="AI103" s="36">
        <f t="shared" si="107"/>
        <v>499011.91</v>
      </c>
      <c r="AJ103" s="36"/>
      <c r="AK103" s="36">
        <f t="shared" si="110"/>
        <v>135672.729402</v>
      </c>
      <c r="AL103" s="172">
        <f t="shared" si="98"/>
        <v>0.27134545880400002</v>
      </c>
      <c r="AM103" s="35">
        <f t="shared" si="125"/>
        <v>363339.18059799995</v>
      </c>
      <c r="AO103" s="49">
        <v>988.09</v>
      </c>
      <c r="AP103" s="164">
        <v>2932</v>
      </c>
      <c r="AQ103" s="36">
        <f t="shared" si="139"/>
        <v>497068</v>
      </c>
      <c r="AR103" s="36">
        <f t="shared" si="102"/>
        <v>134867.29426044392</v>
      </c>
      <c r="AS103" s="172">
        <f t="shared" si="137"/>
        <v>0.26973458852088783</v>
      </c>
      <c r="AT103" s="37">
        <f t="shared" si="138"/>
        <v>364144.61573955603</v>
      </c>
      <c r="AV103" s="49">
        <v>988.09</v>
      </c>
      <c r="AW103" s="164">
        <v>2932</v>
      </c>
      <c r="AX103" s="36">
        <f t="shared" si="69"/>
        <v>497068</v>
      </c>
      <c r="AY103" s="36">
        <f t="shared" si="135"/>
        <v>196427.4942604439</v>
      </c>
      <c r="AZ103" s="172">
        <f t="shared" si="71"/>
        <v>0.39285498852088779</v>
      </c>
      <c r="BA103" s="37">
        <f t="shared" si="72"/>
        <v>302584.41573955608</v>
      </c>
      <c r="BB103" s="1"/>
    </row>
  </sheetData>
  <mergeCells count="19">
    <mergeCell ref="Y2:AE2"/>
    <mergeCell ref="B14:G14"/>
    <mergeCell ref="B3:D3"/>
    <mergeCell ref="B15:D15"/>
    <mergeCell ref="B2:G2"/>
    <mergeCell ref="K2:P2"/>
    <mergeCell ref="R2:W2"/>
    <mergeCell ref="F15:G15"/>
    <mergeCell ref="BC27:BE27"/>
    <mergeCell ref="BG27:BH27"/>
    <mergeCell ref="BC25:BH26"/>
    <mergeCell ref="AG2:AM2"/>
    <mergeCell ref="BG15:BH15"/>
    <mergeCell ref="AO2:AT2"/>
    <mergeCell ref="BC14:BH14"/>
    <mergeCell ref="BC15:BE15"/>
    <mergeCell ref="BC2:BH2"/>
    <mergeCell ref="BC3:BE3"/>
    <mergeCell ref="AV2:B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B0A7-0EE3-4D9C-8B18-83ED449516CD}">
  <dimension ref="B1:AB92"/>
  <sheetViews>
    <sheetView zoomScaleNormal="100" workbookViewId="0">
      <selection activeCell="J25" sqref="J25"/>
    </sheetView>
  </sheetViews>
  <sheetFormatPr defaultRowHeight="15" x14ac:dyDescent="0.25"/>
  <cols>
    <col min="1" max="1" width="1.140625" customWidth="1"/>
    <col min="2" max="2" width="5.5703125" customWidth="1"/>
    <col min="3" max="3" width="10" customWidth="1"/>
    <col min="4" max="4" width="10.28515625" customWidth="1"/>
    <col min="5" max="5" width="8.85546875" customWidth="1"/>
    <col min="6" max="6" width="22.7109375" customWidth="1"/>
    <col min="7" max="7" width="1.85546875" customWidth="1"/>
    <col min="8" max="8" width="11.85546875" customWidth="1"/>
    <col min="9" max="9" width="12.7109375" customWidth="1"/>
    <col min="10" max="10" width="11.140625" customWidth="1"/>
    <col min="11" max="11" width="11.85546875" customWidth="1"/>
    <col min="12" max="12" width="11.5703125" customWidth="1"/>
    <col min="13" max="13" width="8.140625" customWidth="1"/>
    <col min="14" max="14" width="4.5703125" customWidth="1"/>
    <col min="15" max="15" width="11.28515625" customWidth="1"/>
    <col min="16" max="16" width="5.140625" customWidth="1"/>
    <col min="17" max="17" width="11.5703125" customWidth="1"/>
    <col min="18" max="18" width="17.5703125" customWidth="1"/>
    <col min="19" max="19" width="9.140625" customWidth="1"/>
    <col min="20" max="20" width="15.85546875" customWidth="1"/>
    <col min="21" max="21" width="6.140625" customWidth="1"/>
    <col min="22" max="22" width="9.140625" customWidth="1"/>
  </cols>
  <sheetData>
    <row r="1" spans="2:19" ht="5.25" customHeight="1" thickBot="1" x14ac:dyDescent="0.3"/>
    <row r="2" spans="2:19" ht="19.5" customHeight="1" x14ac:dyDescent="0.25">
      <c r="B2" s="197" t="s">
        <v>35</v>
      </c>
      <c r="C2" s="198"/>
      <c r="D2" s="198"/>
      <c r="E2" s="198"/>
      <c r="F2" s="199"/>
    </row>
    <row r="3" spans="2:19" ht="26.25" customHeight="1" x14ac:dyDescent="0.25">
      <c r="B3" s="200" t="s">
        <v>39</v>
      </c>
      <c r="C3" s="201"/>
      <c r="D3" s="201"/>
      <c r="E3" s="19" t="s">
        <v>2</v>
      </c>
      <c r="F3" s="72" t="s">
        <v>3</v>
      </c>
    </row>
    <row r="4" spans="2:19" ht="15" customHeight="1" x14ac:dyDescent="0.25">
      <c r="B4" s="17" t="s">
        <v>0</v>
      </c>
      <c r="C4" s="21"/>
      <c r="D4" s="21">
        <v>1903.98</v>
      </c>
      <c r="E4" s="71">
        <v>0</v>
      </c>
      <c r="F4" s="62" t="s">
        <v>4</v>
      </c>
      <c r="H4" s="23" t="s">
        <v>57</v>
      </c>
      <c r="I4" s="23" t="s">
        <v>58</v>
      </c>
      <c r="J4" s="23" t="s">
        <v>60</v>
      </c>
      <c r="K4" s="23" t="s">
        <v>59</v>
      </c>
      <c r="M4" s="21"/>
      <c r="O4" s="21"/>
      <c r="P4" s="118"/>
      <c r="R4">
        <v>1212</v>
      </c>
      <c r="S4">
        <f>H5/R4</f>
        <v>1.7103960396039604</v>
      </c>
    </row>
    <row r="5" spans="2:19" ht="15" customHeight="1" x14ac:dyDescent="0.25">
      <c r="B5" s="17" t="s">
        <v>1</v>
      </c>
      <c r="C5" s="21">
        <v>1903.98</v>
      </c>
      <c r="D5" s="21">
        <v>2826.65</v>
      </c>
      <c r="E5" s="61">
        <v>7.4999999999999997E-2</v>
      </c>
      <c r="F5" s="65">
        <v>142.80000000000001</v>
      </c>
      <c r="H5" s="131">
        <v>2073</v>
      </c>
      <c r="I5" s="21">
        <v>168.39</v>
      </c>
      <c r="J5" s="21">
        <f>H5-I5</f>
        <v>1904.6100000000001</v>
      </c>
      <c r="K5" s="21">
        <f>J5*E5-F5</f>
        <v>4.5749999999998181E-2</v>
      </c>
      <c r="L5" s="18"/>
      <c r="M5">
        <v>788.09</v>
      </c>
      <c r="N5" s="18"/>
      <c r="O5" s="21"/>
      <c r="P5" s="118"/>
      <c r="Q5" s="18"/>
      <c r="R5" s="1">
        <v>788</v>
      </c>
      <c r="S5">
        <f>D4/R5</f>
        <v>2.4162182741116753</v>
      </c>
    </row>
    <row r="6" spans="2:19" ht="15" customHeight="1" x14ac:dyDescent="0.25">
      <c r="B6" s="17" t="s">
        <v>1</v>
      </c>
      <c r="C6" s="21">
        <v>2826.66</v>
      </c>
      <c r="D6" s="21">
        <v>3751.05</v>
      </c>
      <c r="E6" s="61">
        <v>0.15</v>
      </c>
      <c r="F6" s="65">
        <v>354.8</v>
      </c>
      <c r="H6" s="131"/>
      <c r="I6" s="23">
        <v>215.81</v>
      </c>
      <c r="J6" s="21"/>
      <c r="K6" s="21"/>
      <c r="L6" s="18"/>
      <c r="N6" s="18"/>
      <c r="O6" s="18"/>
      <c r="P6" s="18"/>
      <c r="Q6" s="18"/>
      <c r="R6" s="1"/>
    </row>
    <row r="7" spans="2:19" ht="15" customHeight="1" x14ac:dyDescent="0.25">
      <c r="B7" s="17" t="s">
        <v>1</v>
      </c>
      <c r="C7" s="21">
        <v>3751.06</v>
      </c>
      <c r="D7" s="21">
        <v>4664.68</v>
      </c>
      <c r="E7" s="61">
        <v>0.22500000000000001</v>
      </c>
      <c r="F7" s="65">
        <v>636.13</v>
      </c>
      <c r="H7" s="131"/>
      <c r="I7" s="23"/>
      <c r="J7" s="21"/>
      <c r="K7" s="21"/>
      <c r="L7" s="18"/>
      <c r="N7" s="18"/>
      <c r="O7" s="18"/>
      <c r="P7" s="18"/>
      <c r="Q7" s="18"/>
      <c r="R7" s="1"/>
    </row>
    <row r="8" spans="2:19" ht="15" customHeight="1" x14ac:dyDescent="0.25">
      <c r="B8" s="17" t="s">
        <v>6</v>
      </c>
      <c r="C8" s="21">
        <v>4664.6899999999996</v>
      </c>
      <c r="D8" s="21"/>
      <c r="E8" s="61">
        <v>0.27500000000000002</v>
      </c>
      <c r="F8" s="65">
        <v>869.36</v>
      </c>
      <c r="H8" s="131">
        <v>7500</v>
      </c>
      <c r="I8" s="23">
        <v>513.01</v>
      </c>
      <c r="J8" s="21">
        <f>H8-I8</f>
        <v>6986.99</v>
      </c>
      <c r="K8" s="21">
        <f>J8*E8-F8</f>
        <v>1052.0622499999999</v>
      </c>
      <c r="L8" s="87">
        <f>K8/H8</f>
        <v>0.14027496666666667</v>
      </c>
      <c r="M8" t="s">
        <v>42</v>
      </c>
      <c r="P8" s="18"/>
      <c r="Q8" s="18"/>
    </row>
    <row r="9" spans="2:19" ht="5.25" customHeight="1" thickBot="1" x14ac:dyDescent="0.3">
      <c r="B9" s="59"/>
      <c r="C9" s="27"/>
      <c r="D9" s="27"/>
      <c r="E9" s="60"/>
      <c r="F9" s="64"/>
      <c r="H9" s="18"/>
      <c r="I9" s="18"/>
      <c r="J9" s="18"/>
      <c r="K9" s="18"/>
      <c r="L9" s="18"/>
      <c r="N9" s="18"/>
      <c r="O9" s="18"/>
      <c r="P9" s="18"/>
      <c r="Q9" s="18"/>
    </row>
    <row r="10" spans="2:19" ht="12.75" customHeight="1" x14ac:dyDescent="0.25">
      <c r="B10" s="66"/>
      <c r="C10" s="67"/>
      <c r="D10" s="68"/>
      <c r="E10" s="69" t="s">
        <v>37</v>
      </c>
      <c r="F10" s="132" t="s">
        <v>38</v>
      </c>
      <c r="H10" s="18"/>
      <c r="I10" s="18" t="s">
        <v>81</v>
      </c>
      <c r="J10" s="18"/>
      <c r="K10" s="21"/>
      <c r="L10" s="18"/>
      <c r="N10" s="18"/>
      <c r="O10" s="18"/>
      <c r="P10" s="18"/>
      <c r="Q10" s="18"/>
    </row>
    <row r="11" spans="2:19" ht="11.25" customHeight="1" thickBot="1" x14ac:dyDescent="0.3">
      <c r="B11" s="18"/>
      <c r="C11" s="21"/>
      <c r="E11" s="23"/>
      <c r="F11" s="117"/>
      <c r="H11" s="18"/>
      <c r="I11" s="18"/>
      <c r="J11" s="18" t="s">
        <v>127</v>
      </c>
      <c r="K11" s="22">
        <v>4663.75</v>
      </c>
      <c r="L11" s="21"/>
      <c r="M11" s="18"/>
      <c r="N11" s="18"/>
      <c r="O11" s="18"/>
      <c r="P11" s="18"/>
      <c r="Q11" s="18"/>
    </row>
    <row r="12" spans="2:19" ht="19.5" customHeight="1" x14ac:dyDescent="0.25">
      <c r="B12" s="197" t="s">
        <v>61</v>
      </c>
      <c r="C12" s="198"/>
      <c r="D12" s="198"/>
      <c r="E12" s="198"/>
      <c r="F12" s="199"/>
      <c r="M12" s="1">
        <f>K7+N12</f>
        <v>273</v>
      </c>
      <c r="N12">
        <f>636-363</f>
        <v>273</v>
      </c>
    </row>
    <row r="13" spans="2:19" ht="26.25" customHeight="1" x14ac:dyDescent="0.25">
      <c r="B13" s="200" t="s">
        <v>20</v>
      </c>
      <c r="C13" s="201"/>
      <c r="D13" s="201"/>
      <c r="E13" s="19" t="s">
        <v>2</v>
      </c>
      <c r="F13" s="72" t="s">
        <v>3</v>
      </c>
    </row>
    <row r="14" spans="2:19" x14ac:dyDescent="0.25">
      <c r="B14" s="17" t="s">
        <v>0</v>
      </c>
      <c r="C14" s="21"/>
      <c r="D14" s="21">
        <v>2112</v>
      </c>
      <c r="E14" s="22" t="s">
        <v>4</v>
      </c>
      <c r="F14" s="62" t="s">
        <v>4</v>
      </c>
      <c r="I14" s="235" t="s">
        <v>53</v>
      </c>
    </row>
    <row r="15" spans="2:19" x14ac:dyDescent="0.25">
      <c r="B15" s="17"/>
      <c r="C15" s="21"/>
      <c r="D15" s="236" t="s">
        <v>15</v>
      </c>
      <c r="E15" s="236"/>
      <c r="F15" s="63">
        <f>D14*0.25</f>
        <v>528</v>
      </c>
      <c r="H15" s="23" t="s">
        <v>57</v>
      </c>
      <c r="I15" s="235"/>
      <c r="J15" s="23" t="s">
        <v>60</v>
      </c>
      <c r="K15" s="23" t="s">
        <v>59</v>
      </c>
    </row>
    <row r="16" spans="2:19" x14ac:dyDescent="0.25">
      <c r="B16" s="17" t="s">
        <v>5</v>
      </c>
      <c r="C16" s="21"/>
      <c r="D16" s="18"/>
      <c r="E16" s="22"/>
      <c r="F16" s="62"/>
      <c r="O16" s="1"/>
    </row>
    <row r="17" spans="2:17" x14ac:dyDescent="0.25">
      <c r="B17" s="17" t="s">
        <v>1</v>
      </c>
      <c r="C17" s="21">
        <v>2112.0100000000002</v>
      </c>
      <c r="D17" s="21">
        <v>2826.65</v>
      </c>
      <c r="E17" s="25">
        <v>7.4999999999999997E-2</v>
      </c>
      <c r="F17" s="63">
        <v>158.4</v>
      </c>
      <c r="H17" s="131">
        <f>2*1320</f>
        <v>2640</v>
      </c>
      <c r="I17" s="131">
        <v>528</v>
      </c>
      <c r="J17" s="21">
        <f>H17-I17</f>
        <v>2112</v>
      </c>
      <c r="K17" s="21">
        <f>J17*E17-F17</f>
        <v>0</v>
      </c>
      <c r="O17" s="1"/>
    </row>
    <row r="18" spans="2:17" x14ac:dyDescent="0.25">
      <c r="B18" s="17" t="s">
        <v>1</v>
      </c>
      <c r="C18" s="21">
        <v>2826.66</v>
      </c>
      <c r="D18" s="21">
        <v>3751.05</v>
      </c>
      <c r="E18" s="25">
        <v>0.15</v>
      </c>
      <c r="F18" s="63">
        <v>370.4</v>
      </c>
      <c r="H18" s="1"/>
      <c r="I18" s="1"/>
      <c r="J18" s="21"/>
      <c r="K18" s="21"/>
      <c r="O18" s="1"/>
    </row>
    <row r="19" spans="2:17" x14ac:dyDescent="0.25">
      <c r="B19" s="17" t="s">
        <v>1</v>
      </c>
      <c r="C19" s="21">
        <v>3751.06</v>
      </c>
      <c r="D19" s="21">
        <v>4664.68</v>
      </c>
      <c r="E19" s="25">
        <v>0.22500000000000001</v>
      </c>
      <c r="F19" s="63">
        <v>651.73</v>
      </c>
      <c r="H19" s="131">
        <v>5280</v>
      </c>
      <c r="I19" s="131">
        <v>565.12</v>
      </c>
      <c r="J19" s="21">
        <f>H19-I19</f>
        <v>4714.88</v>
      </c>
      <c r="K19" s="21">
        <f>J19*E19-F19</f>
        <v>409.11799999999994</v>
      </c>
      <c r="O19" s="1"/>
    </row>
    <row r="20" spans="2:17" ht="15" customHeight="1" x14ac:dyDescent="0.25">
      <c r="B20" s="17" t="s">
        <v>6</v>
      </c>
      <c r="C20" s="21">
        <v>4664.6899999999996</v>
      </c>
      <c r="D20" s="21"/>
      <c r="E20" s="25">
        <v>0.27500000000000002</v>
      </c>
      <c r="F20" s="63">
        <v>884.96</v>
      </c>
      <c r="H20" s="131">
        <v>20000</v>
      </c>
      <c r="I20" s="131">
        <v>876.97</v>
      </c>
      <c r="J20" s="21">
        <f>H20-I20</f>
        <v>19123.03</v>
      </c>
      <c r="K20" s="21">
        <f>J20*E20-F20</f>
        <v>4373.8732499999996</v>
      </c>
      <c r="O20" s="1"/>
    </row>
    <row r="21" spans="2:17" ht="15" customHeight="1" x14ac:dyDescent="0.25">
      <c r="B21" s="17" t="s">
        <v>64</v>
      </c>
      <c r="C21" s="18"/>
      <c r="E21" s="18"/>
      <c r="F21" s="20"/>
      <c r="I21" s="18" t="s">
        <v>70</v>
      </c>
    </row>
    <row r="22" spans="2:17" ht="15" customHeight="1" thickBot="1" x14ac:dyDescent="0.3">
      <c r="B22" s="26"/>
      <c r="C22" s="27" t="s">
        <v>62</v>
      </c>
      <c r="D22" s="2"/>
      <c r="E22" s="2"/>
      <c r="F22" s="28"/>
      <c r="I22" s="18" t="s">
        <v>69</v>
      </c>
    </row>
    <row r="23" spans="2:17" ht="11.25" customHeight="1" x14ac:dyDescent="0.25">
      <c r="C23" s="21"/>
      <c r="H23" s="18"/>
      <c r="I23" s="18"/>
      <c r="J23" s="18"/>
      <c r="K23" s="21"/>
      <c r="L23" s="21"/>
      <c r="M23" s="18"/>
      <c r="N23" s="18"/>
      <c r="O23" s="18"/>
      <c r="P23" s="18"/>
      <c r="Q23" s="18"/>
    </row>
    <row r="24" spans="2:17" ht="7.5" customHeight="1" thickBot="1" x14ac:dyDescent="0.3"/>
    <row r="25" spans="2:17" ht="19.5" customHeight="1" x14ac:dyDescent="0.25">
      <c r="B25" s="197" t="s">
        <v>63</v>
      </c>
      <c r="C25" s="198"/>
      <c r="D25" s="198"/>
      <c r="E25" s="198"/>
      <c r="F25" s="199"/>
    </row>
    <row r="26" spans="2:17" ht="26.25" customHeight="1" x14ac:dyDescent="0.25">
      <c r="B26" s="200" t="s">
        <v>20</v>
      </c>
      <c r="C26" s="201"/>
      <c r="D26" s="201"/>
      <c r="E26" s="19" t="s">
        <v>2</v>
      </c>
      <c r="F26" s="72" t="s">
        <v>3</v>
      </c>
    </row>
    <row r="27" spans="2:17" x14ac:dyDescent="0.25">
      <c r="B27" s="17" t="s">
        <v>0</v>
      </c>
      <c r="C27" s="21"/>
      <c r="D27" s="21">
        <v>2259.1999999999998</v>
      </c>
      <c r="E27" s="22" t="s">
        <v>4</v>
      </c>
      <c r="F27" s="62" t="s">
        <v>4</v>
      </c>
    </row>
    <row r="28" spans="2:17" x14ac:dyDescent="0.25">
      <c r="B28" s="17"/>
      <c r="C28" s="21"/>
      <c r="D28" s="236" t="s">
        <v>15</v>
      </c>
      <c r="E28" s="236"/>
      <c r="F28" s="63">
        <f>D27*0.25</f>
        <v>564.79999999999995</v>
      </c>
    </row>
    <row r="29" spans="2:17" x14ac:dyDescent="0.25">
      <c r="B29" s="17" t="s">
        <v>5</v>
      </c>
      <c r="C29" s="21"/>
      <c r="D29" s="18"/>
      <c r="E29" s="22"/>
      <c r="F29" s="62"/>
    </row>
    <row r="30" spans="2:17" x14ac:dyDescent="0.25">
      <c r="B30" s="17" t="s">
        <v>1</v>
      </c>
      <c r="C30" s="21">
        <v>2259.21</v>
      </c>
      <c r="D30" s="21">
        <v>2826.65</v>
      </c>
      <c r="E30" s="25">
        <v>7.4999999999999997E-2</v>
      </c>
      <c r="F30" s="63">
        <v>169.44</v>
      </c>
    </row>
    <row r="31" spans="2:17" x14ac:dyDescent="0.25">
      <c r="B31" s="17" t="s">
        <v>1</v>
      </c>
      <c r="C31" s="21">
        <v>2826.66</v>
      </c>
      <c r="D31" s="21">
        <v>3751.05</v>
      </c>
      <c r="E31" s="25">
        <v>0.15</v>
      </c>
      <c r="F31" s="63">
        <v>381.44</v>
      </c>
      <c r="H31" s="23"/>
      <c r="I31" s="23"/>
      <c r="J31" s="23"/>
      <c r="K31" s="23"/>
    </row>
    <row r="32" spans="2:17" x14ac:dyDescent="0.25">
      <c r="B32" s="17" t="s">
        <v>1</v>
      </c>
      <c r="C32" s="21">
        <v>3751.06</v>
      </c>
      <c r="D32" s="21">
        <v>4664.68</v>
      </c>
      <c r="E32" s="25">
        <v>0.22500000000000001</v>
      </c>
      <c r="F32" s="63">
        <v>662.77</v>
      </c>
      <c r="H32" s="131">
        <v>4867.7700000000004</v>
      </c>
      <c r="I32" s="23">
        <v>528</v>
      </c>
      <c r="J32" s="21">
        <f>H32-I32</f>
        <v>4339.7700000000004</v>
      </c>
      <c r="K32" s="21">
        <f>J32*E32-651.73</f>
        <v>324.71825000000013</v>
      </c>
    </row>
    <row r="33" spans="2:18" ht="15" customHeight="1" x14ac:dyDescent="0.25">
      <c r="B33" s="17" t="s">
        <v>6</v>
      </c>
      <c r="C33" s="21">
        <v>4664.6899999999996</v>
      </c>
      <c r="D33" s="21"/>
      <c r="E33" s="25">
        <v>0.27500000000000002</v>
      </c>
      <c r="F33" s="63">
        <v>896</v>
      </c>
    </row>
    <row r="34" spans="2:18" ht="15" customHeight="1" x14ac:dyDescent="0.25">
      <c r="B34" s="17" t="s">
        <v>65</v>
      </c>
      <c r="C34" s="18"/>
      <c r="E34" s="18"/>
      <c r="F34" s="20"/>
    </row>
    <row r="35" spans="2:18" ht="15" customHeight="1" thickBot="1" x14ac:dyDescent="0.3">
      <c r="B35" s="26"/>
      <c r="C35" s="27" t="s">
        <v>18</v>
      </c>
      <c r="D35" s="2"/>
      <c r="E35" s="2"/>
      <c r="F35" s="28"/>
    </row>
    <row r="36" spans="2:18" ht="12.75" customHeight="1" x14ac:dyDescent="0.25">
      <c r="B36" s="18"/>
      <c r="C36" s="21"/>
      <c r="E36" s="23"/>
      <c r="F36" s="117"/>
      <c r="K36" s="1"/>
      <c r="L36" s="1"/>
    </row>
    <row r="37" spans="2:18" ht="7.5" customHeight="1" thickBot="1" x14ac:dyDescent="0.3"/>
    <row r="38" spans="2:18" ht="23.25" customHeight="1" x14ac:dyDescent="0.25">
      <c r="B38" s="197" t="s">
        <v>36</v>
      </c>
      <c r="C38" s="198"/>
      <c r="D38" s="198"/>
      <c r="E38" s="198"/>
      <c r="F38" s="199"/>
    </row>
    <row r="39" spans="2:18" ht="26.25" customHeight="1" x14ac:dyDescent="0.25">
      <c r="B39" s="200" t="s">
        <v>20</v>
      </c>
      <c r="C39" s="201"/>
      <c r="D39" s="201"/>
      <c r="E39" s="133" t="s">
        <v>2</v>
      </c>
      <c r="F39" s="70" t="s">
        <v>3</v>
      </c>
    </row>
    <row r="40" spans="2:18" ht="15" customHeight="1" x14ac:dyDescent="0.25">
      <c r="B40" s="17" t="s">
        <v>0</v>
      </c>
      <c r="C40" s="21"/>
      <c r="D40" s="21">
        <v>2428.8000000000002</v>
      </c>
      <c r="E40" s="22" t="s">
        <v>4</v>
      </c>
      <c r="F40" s="62" t="s">
        <v>4</v>
      </c>
    </row>
    <row r="41" spans="2:18" x14ac:dyDescent="0.25">
      <c r="B41" s="17"/>
      <c r="C41" s="21"/>
      <c r="D41" s="236" t="s">
        <v>15</v>
      </c>
      <c r="E41" s="236"/>
      <c r="F41" s="63">
        <f>D40*0.25</f>
        <v>607.20000000000005</v>
      </c>
      <c r="I41" s="235" t="s">
        <v>53</v>
      </c>
      <c r="J41" s="235" t="s">
        <v>41</v>
      </c>
    </row>
    <row r="42" spans="2:18" ht="15" customHeight="1" x14ac:dyDescent="0.25">
      <c r="B42" s="17" t="s">
        <v>9</v>
      </c>
      <c r="C42" s="18"/>
      <c r="D42" s="18"/>
      <c r="E42" s="18"/>
      <c r="F42" s="62"/>
      <c r="G42" s="1"/>
      <c r="H42" s="73" t="s">
        <v>12</v>
      </c>
      <c r="I42" s="235"/>
      <c r="J42" s="235"/>
      <c r="K42" s="87">
        <f>K46/H46</f>
        <v>0.23644834486166011</v>
      </c>
      <c r="L42" t="s">
        <v>42</v>
      </c>
    </row>
    <row r="43" spans="2:18" ht="15" customHeight="1" x14ac:dyDescent="0.25">
      <c r="B43" s="17" t="s">
        <v>1</v>
      </c>
      <c r="C43" s="21">
        <v>2428.81</v>
      </c>
      <c r="D43" s="21">
        <v>2826.65</v>
      </c>
      <c r="E43" s="61">
        <v>7.4999999999999997E-2</v>
      </c>
      <c r="F43" s="65">
        <v>182.16</v>
      </c>
      <c r="N43" s="127"/>
      <c r="O43" s="127"/>
    </row>
    <row r="44" spans="2:18" ht="15" customHeight="1" x14ac:dyDescent="0.25">
      <c r="B44" s="17" t="s">
        <v>1</v>
      </c>
      <c r="C44" s="21">
        <v>2826.66</v>
      </c>
      <c r="D44" s="21">
        <v>3751.05</v>
      </c>
      <c r="E44" s="61">
        <v>0.15</v>
      </c>
      <c r="F44" s="62">
        <v>394.16</v>
      </c>
      <c r="O44" s="127"/>
    </row>
    <row r="45" spans="2:18" ht="15" customHeight="1" x14ac:dyDescent="0.25">
      <c r="B45" s="17" t="s">
        <v>1</v>
      </c>
      <c r="C45" s="21">
        <v>3751.06</v>
      </c>
      <c r="D45" s="21">
        <v>4664.68</v>
      </c>
      <c r="E45" s="61">
        <v>0.22500000000000001</v>
      </c>
      <c r="F45" s="62">
        <v>675.49</v>
      </c>
      <c r="O45" s="127"/>
    </row>
    <row r="46" spans="2:18" ht="15" customHeight="1" x14ac:dyDescent="0.25">
      <c r="B46" s="17" t="s">
        <v>6</v>
      </c>
      <c r="C46" s="21">
        <v>4664.6899999999996</v>
      </c>
      <c r="D46" s="21"/>
      <c r="E46" s="61">
        <v>0.27500000000000002</v>
      </c>
      <c r="F46" s="62">
        <v>908.73</v>
      </c>
      <c r="H46" s="131">
        <v>30360</v>
      </c>
      <c r="I46" s="23">
        <v>951.63</v>
      </c>
      <c r="J46" s="21">
        <f>H46-I46</f>
        <v>29408.37</v>
      </c>
      <c r="K46" s="154">
        <f>J46*E46-F46</f>
        <v>7178.571750000001</v>
      </c>
      <c r="L46" s="137" t="str">
        <f>IF(H46&gt;=7350,"não tem redutor","ver IRPF abaixo com redutor!")</f>
        <v>não tem redutor</v>
      </c>
      <c r="M46" s="87"/>
      <c r="O46" s="127"/>
      <c r="R46" s="87"/>
    </row>
    <row r="47" spans="2:18" ht="5.25" customHeight="1" x14ac:dyDescent="0.25">
      <c r="B47" s="17"/>
      <c r="C47" s="21"/>
      <c r="D47" s="21"/>
      <c r="E47" s="61"/>
      <c r="F47" s="62"/>
    </row>
    <row r="48" spans="2:18" ht="15" customHeight="1" x14ac:dyDescent="0.25">
      <c r="B48" s="17" t="s">
        <v>66</v>
      </c>
      <c r="C48" s="18"/>
      <c r="E48" s="18"/>
      <c r="F48" s="20"/>
      <c r="H48" s="155">
        <v>2026</v>
      </c>
      <c r="I48" s="155" t="s">
        <v>51</v>
      </c>
      <c r="J48" s="1">
        <f>978.62-(0.133145*H46)</f>
        <v>-3063.6622000000007</v>
      </c>
      <c r="K48" s="21">
        <f>K46-J48</f>
        <v>10242.233950000002</v>
      </c>
      <c r="L48" s="123" t="s">
        <v>40</v>
      </c>
    </row>
    <row r="49" spans="2:28" ht="15" customHeight="1" thickBot="1" x14ac:dyDescent="0.3">
      <c r="B49" s="26"/>
      <c r="C49" s="27" t="s">
        <v>21</v>
      </c>
      <c r="D49" s="2"/>
      <c r="E49" s="2"/>
      <c r="F49" s="28"/>
      <c r="K49" s="87">
        <f>K48/H46</f>
        <v>0.33735948451910414</v>
      </c>
      <c r="L49" t="s">
        <v>42</v>
      </c>
    </row>
    <row r="50" spans="2:28" ht="12.75" customHeight="1" x14ac:dyDescent="0.25">
      <c r="B50" s="18"/>
      <c r="C50" s="21"/>
      <c r="E50" s="69" t="s">
        <v>37</v>
      </c>
      <c r="F50" s="132" t="s">
        <v>38</v>
      </c>
    </row>
    <row r="51" spans="2:28" ht="7.5" customHeight="1" x14ac:dyDescent="0.25"/>
    <row r="52" spans="2:28" x14ac:dyDescent="0.25">
      <c r="G52" s="11"/>
    </row>
    <row r="53" spans="2:28" ht="18.75" x14ac:dyDescent="0.25">
      <c r="B53" s="74" t="s">
        <v>150</v>
      </c>
      <c r="N53" s="93"/>
      <c r="O53" s="94" t="s">
        <v>151</v>
      </c>
      <c r="R53" s="94" t="s">
        <v>137</v>
      </c>
      <c r="V53" s="108"/>
    </row>
    <row r="54" spans="2:28" ht="15" customHeight="1" thickBot="1" x14ac:dyDescent="0.3">
      <c r="J54" s="1"/>
    </row>
    <row r="55" spans="2:28" ht="18" customHeight="1" x14ac:dyDescent="0.3">
      <c r="B55" s="231" t="s">
        <v>52</v>
      </c>
      <c r="C55" s="232"/>
      <c r="D55" s="232"/>
      <c r="E55" s="232"/>
      <c r="F55" s="233"/>
      <c r="M55" s="109"/>
      <c r="N55" s="106"/>
      <c r="O55" s="106"/>
      <c r="P55" s="106"/>
      <c r="Q55" s="106"/>
      <c r="R55" s="106"/>
      <c r="S55" s="106"/>
      <c r="T55" s="107"/>
      <c r="U55" s="93" t="s">
        <v>43</v>
      </c>
      <c r="V55" s="93">
        <v>2026</v>
      </c>
      <c r="W55" s="94" t="s">
        <v>44</v>
      </c>
      <c r="X55" s="13"/>
    </row>
    <row r="56" spans="2:28" ht="4.5" customHeight="1" thickBot="1" x14ac:dyDescent="0.3">
      <c r="B56" s="75"/>
      <c r="C56" s="76"/>
      <c r="D56" s="76"/>
      <c r="E56" s="76"/>
      <c r="F56" s="77"/>
      <c r="M56" s="89"/>
      <c r="N56" s="90"/>
      <c r="O56" s="90"/>
      <c r="P56" s="90"/>
      <c r="Q56" s="91"/>
      <c r="R56" s="90"/>
      <c r="S56" s="90"/>
      <c r="T56" s="92"/>
    </row>
    <row r="57" spans="2:28" ht="15" customHeight="1" x14ac:dyDescent="0.25">
      <c r="B57" s="210" t="s">
        <v>39</v>
      </c>
      <c r="C57" s="209"/>
      <c r="D57" s="209"/>
      <c r="E57" s="57" t="s">
        <v>2</v>
      </c>
      <c r="F57" s="70" t="s">
        <v>3</v>
      </c>
      <c r="H57" s="22" t="s">
        <v>57</v>
      </c>
      <c r="I57" s="22" t="s">
        <v>58</v>
      </c>
      <c r="J57" s="22" t="s">
        <v>60</v>
      </c>
      <c r="K57" s="22" t="s">
        <v>59</v>
      </c>
      <c r="L57" t="s">
        <v>42</v>
      </c>
      <c r="M57" s="95" t="s">
        <v>45</v>
      </c>
      <c r="N57" s="96"/>
      <c r="O57" s="96"/>
      <c r="P57" s="96"/>
      <c r="Q57" s="96"/>
      <c r="R57" s="96" t="s">
        <v>46</v>
      </c>
      <c r="S57" s="97" t="s">
        <v>47</v>
      </c>
      <c r="T57" s="98" t="s">
        <v>48</v>
      </c>
      <c r="V57" s="119"/>
      <c r="W57" s="119"/>
      <c r="X57" s="119"/>
    </row>
    <row r="58" spans="2:28" ht="15" customHeight="1" x14ac:dyDescent="0.25">
      <c r="B58" s="17" t="s">
        <v>0</v>
      </c>
      <c r="C58" s="21"/>
      <c r="D58" s="21">
        <f>D4*$D$65</f>
        <v>3406.7914139999998</v>
      </c>
      <c r="E58" s="71">
        <v>0</v>
      </c>
      <c r="F58" s="62" t="s">
        <v>4</v>
      </c>
      <c r="K58" s="21"/>
      <c r="M58" s="78">
        <v>1</v>
      </c>
      <c r="N58" s="79"/>
      <c r="O58" s="79"/>
      <c r="P58" s="82" t="s">
        <v>49</v>
      </c>
      <c r="Q58" s="80">
        <v>3406.7914139999998</v>
      </c>
      <c r="R58" s="81">
        <f>Q58</f>
        <v>3406.7914139999998</v>
      </c>
      <c r="S58" s="82" t="s">
        <v>14</v>
      </c>
      <c r="T58" s="83">
        <v>0</v>
      </c>
      <c r="V58" s="119"/>
      <c r="W58" s="120"/>
      <c r="X58" s="121"/>
    </row>
    <row r="59" spans="2:28" ht="15" customHeight="1" x14ac:dyDescent="0.25">
      <c r="B59" s="17" t="s">
        <v>1</v>
      </c>
      <c r="C59" s="21">
        <f>D58+0.01</f>
        <v>3406.801414</v>
      </c>
      <c r="D59" s="21">
        <f>D5*$D$65</f>
        <v>5057.7248449999997</v>
      </c>
      <c r="E59" s="61">
        <v>7.4999999999999997E-2</v>
      </c>
      <c r="F59" s="63">
        <v>255.50935604999998</v>
      </c>
      <c r="H59" s="131">
        <v>5000</v>
      </c>
      <c r="I59" s="23">
        <v>501.51</v>
      </c>
      <c r="J59" s="21">
        <f>H59-I59</f>
        <v>4498.49</v>
      </c>
      <c r="K59" s="21">
        <f>J59*E59-F59</f>
        <v>81.87739394999997</v>
      </c>
      <c r="L59" s="136">
        <f>K59/H59</f>
        <v>1.6375478789999995E-2</v>
      </c>
      <c r="M59" s="78">
        <v>2</v>
      </c>
      <c r="N59" s="82" t="s">
        <v>50</v>
      </c>
      <c r="O59" s="80">
        <f>Q58+0.01</f>
        <v>3406.801414</v>
      </c>
      <c r="P59" s="82" t="s">
        <v>49</v>
      </c>
      <c r="Q59" s="80">
        <v>5057.7248449999997</v>
      </c>
      <c r="R59" s="81">
        <f>Q59-Q58</f>
        <v>1650.9334309999999</v>
      </c>
      <c r="S59" s="84">
        <v>7.4999999999999997E-2</v>
      </c>
      <c r="T59" s="83">
        <f>R59*S59</f>
        <v>123.82000732499999</v>
      </c>
      <c r="V59" s="119"/>
      <c r="W59" s="120"/>
      <c r="X59" s="121"/>
    </row>
    <row r="60" spans="2:28" ht="15" customHeight="1" x14ac:dyDescent="0.25">
      <c r="B60" s="17" t="s">
        <v>1</v>
      </c>
      <c r="C60" s="21">
        <f>D59+0.01</f>
        <v>5057.734845</v>
      </c>
      <c r="D60" s="21">
        <f>D6*$D$65</f>
        <v>6711.7537649999995</v>
      </c>
      <c r="E60" s="61">
        <v>0.15</v>
      </c>
      <c r="F60" s="63">
        <v>634.83871942499991</v>
      </c>
      <c r="H60" s="131">
        <v>6484</v>
      </c>
      <c r="I60" s="23">
        <v>709.27</v>
      </c>
      <c r="J60" s="21">
        <f>H60-I60</f>
        <v>5774.73</v>
      </c>
      <c r="K60" s="21">
        <f>J60*E60-F60</f>
        <v>231.37078057500003</v>
      </c>
      <c r="L60" s="136">
        <f>K60/H60</f>
        <v>3.568334061921654E-2</v>
      </c>
      <c r="M60" s="78">
        <v>3</v>
      </c>
      <c r="N60" s="82" t="s">
        <v>50</v>
      </c>
      <c r="O60" s="80">
        <f>Q59+0.01</f>
        <v>5057.734845</v>
      </c>
      <c r="P60" s="82" t="s">
        <v>49</v>
      </c>
      <c r="Q60" s="80">
        <v>6711.7537649999995</v>
      </c>
      <c r="R60" s="81">
        <f>Q60-Q59</f>
        <v>1654.0289199999997</v>
      </c>
      <c r="S60" s="85">
        <v>0.15</v>
      </c>
      <c r="T60" s="83">
        <f>R60*S60</f>
        <v>248.10433799999996</v>
      </c>
      <c r="V60" s="119"/>
      <c r="W60" s="120"/>
      <c r="X60" s="121"/>
    </row>
    <row r="61" spans="2:28" ht="15" customHeight="1" x14ac:dyDescent="0.25">
      <c r="B61" s="17" t="s">
        <v>1</v>
      </c>
      <c r="C61" s="21">
        <f>D60+0.01</f>
        <v>6711.7637649999997</v>
      </c>
      <c r="D61" s="21">
        <f>D7*$D$65</f>
        <v>8346.5119240000004</v>
      </c>
      <c r="E61" s="61">
        <v>0.22500000000000001</v>
      </c>
      <c r="F61" s="63">
        <v>1138.2202517999999</v>
      </c>
      <c r="H61" s="131"/>
      <c r="I61" s="23"/>
      <c r="J61" s="21"/>
      <c r="K61" s="21"/>
      <c r="L61" s="136"/>
      <c r="M61" s="78">
        <v>4</v>
      </c>
      <c r="N61" s="82" t="s">
        <v>50</v>
      </c>
      <c r="O61" s="80">
        <f>Q60+0.01</f>
        <v>6711.7637649999997</v>
      </c>
      <c r="P61" s="82" t="s">
        <v>49</v>
      </c>
      <c r="Q61" s="80">
        <v>8346.5119240000004</v>
      </c>
      <c r="R61" s="81">
        <f>Q61-Q60</f>
        <v>1634.7581590000009</v>
      </c>
      <c r="S61" s="84">
        <v>0.22500000000000001</v>
      </c>
      <c r="T61" s="83">
        <f>R61*S61</f>
        <v>367.82058577500021</v>
      </c>
      <c r="V61" s="119"/>
      <c r="W61" s="120"/>
      <c r="X61" s="120"/>
    </row>
    <row r="62" spans="2:28" ht="15" customHeight="1" x14ac:dyDescent="0.25">
      <c r="B62" s="17" t="s">
        <v>6</v>
      </c>
      <c r="C62" s="21">
        <f>D61+0.01</f>
        <v>8346.5219240000006</v>
      </c>
      <c r="D62" s="21"/>
      <c r="E62" s="61">
        <v>0.27500000000000002</v>
      </c>
      <c r="F62" s="63">
        <v>1555.5458480000002</v>
      </c>
      <c r="H62" s="131">
        <v>13420</v>
      </c>
      <c r="I62" s="23">
        <v>988.09</v>
      </c>
      <c r="J62" s="21">
        <f>H62-I62</f>
        <v>12431.91</v>
      </c>
      <c r="K62" s="21">
        <f>J62*E62-F62</f>
        <v>1863.2294019999999</v>
      </c>
      <c r="L62" s="136">
        <f>K62/H62</f>
        <v>0.13883974679582711</v>
      </c>
      <c r="M62" s="78">
        <v>5</v>
      </c>
      <c r="N62" s="82" t="s">
        <v>50</v>
      </c>
      <c r="O62" s="80">
        <f>Q61+0.01</f>
        <v>8346.5219240000006</v>
      </c>
      <c r="P62" s="82" t="s">
        <v>49</v>
      </c>
      <c r="Q62" s="86">
        <f>J62</f>
        <v>12431.91</v>
      </c>
      <c r="R62" s="81">
        <f>Q62-Q61</f>
        <v>4085.3980759999995</v>
      </c>
      <c r="S62" s="84">
        <v>0.27500000000000002</v>
      </c>
      <c r="T62" s="83">
        <f>R62*S62</f>
        <v>1123.4844708999999</v>
      </c>
      <c r="V62" s="119"/>
      <c r="W62" s="122"/>
      <c r="X62" s="120"/>
    </row>
    <row r="63" spans="2:28" ht="5.25" customHeight="1" thickBot="1" x14ac:dyDescent="0.3">
      <c r="B63" s="113"/>
      <c r="C63" s="114"/>
      <c r="D63" s="114"/>
      <c r="E63" s="115"/>
      <c r="F63" s="116"/>
      <c r="M63" s="102"/>
      <c r="N63" s="103"/>
      <c r="O63" s="104"/>
      <c r="P63" s="104"/>
      <c r="Q63" s="103"/>
      <c r="R63" s="103"/>
      <c r="S63" s="103"/>
      <c r="T63" s="105"/>
      <c r="V63" s="120"/>
      <c r="W63" s="120"/>
      <c r="X63" s="120"/>
    </row>
    <row r="64" spans="2:28" ht="15" customHeight="1" thickBot="1" x14ac:dyDescent="0.35">
      <c r="H64" s="87"/>
      <c r="I64" s="1"/>
      <c r="K64" s="87"/>
      <c r="M64" s="88"/>
      <c r="N64" s="99"/>
      <c r="O64" s="100"/>
      <c r="P64" s="110"/>
      <c r="Q64" s="111"/>
      <c r="R64" s="111"/>
      <c r="S64" s="112"/>
      <c r="T64" s="101">
        <f>SUM(T58:T62)</f>
        <v>1863.2294019999999</v>
      </c>
      <c r="V64" s="120"/>
      <c r="W64" s="120"/>
      <c r="X64" s="87"/>
      <c r="Y64" s="13"/>
      <c r="Z64" s="13"/>
      <c r="AA64" s="13"/>
      <c r="AB64" s="13"/>
    </row>
    <row r="65" spans="2:24" x14ac:dyDescent="0.25">
      <c r="D65" s="156">
        <v>1.7892999999999999</v>
      </c>
      <c r="E65" s="159" t="s">
        <v>138</v>
      </c>
      <c r="F65" s="1"/>
      <c r="I65" s="1">
        <f>I62+C62</f>
        <v>9334.6119240000007</v>
      </c>
      <c r="K65" s="1"/>
      <c r="V65" s="120"/>
      <c r="W65" s="120"/>
      <c r="X65" s="119"/>
    </row>
    <row r="66" spans="2:24" x14ac:dyDescent="0.25">
      <c r="G66" s="11"/>
      <c r="K66" s="1"/>
    </row>
    <row r="67" spans="2:24" ht="15.75" x14ac:dyDescent="0.25">
      <c r="B67" s="74" t="s">
        <v>71</v>
      </c>
      <c r="K67" s="1"/>
      <c r="V67" s="108"/>
    </row>
    <row r="68" spans="2:24" ht="15" customHeight="1" thickBot="1" x14ac:dyDescent="0.3"/>
    <row r="69" spans="2:24" ht="18" customHeight="1" x14ac:dyDescent="0.3">
      <c r="B69" s="231" t="s">
        <v>119</v>
      </c>
      <c r="C69" s="232"/>
      <c r="D69" s="232"/>
      <c r="E69" s="232"/>
      <c r="F69" s="233"/>
      <c r="M69" s="109"/>
      <c r="N69" s="106"/>
      <c r="O69" s="106"/>
      <c r="P69" s="106"/>
      <c r="Q69" s="106"/>
      <c r="R69" s="106"/>
      <c r="S69" s="106"/>
      <c r="T69" s="107"/>
      <c r="U69" s="93" t="s">
        <v>43</v>
      </c>
      <c r="V69" s="93">
        <v>2026</v>
      </c>
      <c r="W69" s="94" t="s">
        <v>44</v>
      </c>
      <c r="X69" s="13"/>
    </row>
    <row r="70" spans="2:24" ht="4.5" customHeight="1" thickBot="1" x14ac:dyDescent="0.3">
      <c r="B70" s="75"/>
      <c r="C70" s="76"/>
      <c r="D70" s="76"/>
      <c r="E70" s="76"/>
      <c r="F70" s="77"/>
      <c r="M70" s="89"/>
      <c r="N70" s="90"/>
      <c r="O70" s="90"/>
      <c r="P70" s="90"/>
      <c r="Q70" s="91"/>
      <c r="R70" s="90"/>
      <c r="S70" s="90"/>
      <c r="T70" s="92"/>
    </row>
    <row r="71" spans="2:24" ht="15" customHeight="1" x14ac:dyDescent="0.25">
      <c r="B71" s="210" t="s">
        <v>39</v>
      </c>
      <c r="C71" s="209"/>
      <c r="D71" s="209"/>
      <c r="E71" s="57" t="s">
        <v>2</v>
      </c>
      <c r="F71" s="70" t="s">
        <v>3</v>
      </c>
      <c r="H71" s="22" t="s">
        <v>57</v>
      </c>
      <c r="I71" s="22" t="s">
        <v>126</v>
      </c>
      <c r="J71" s="22" t="s">
        <v>60</v>
      </c>
      <c r="K71" s="22" t="s">
        <v>59</v>
      </c>
      <c r="L71" t="s">
        <v>42</v>
      </c>
      <c r="M71" s="95" t="s">
        <v>45</v>
      </c>
      <c r="N71" s="96"/>
      <c r="O71" s="96"/>
      <c r="P71" s="96"/>
      <c r="Q71" s="96"/>
      <c r="R71" s="96" t="s">
        <v>46</v>
      </c>
      <c r="S71" s="97" t="s">
        <v>47</v>
      </c>
      <c r="T71" s="98" t="s">
        <v>48</v>
      </c>
      <c r="V71" s="119"/>
      <c r="W71" s="119"/>
      <c r="X71" s="119"/>
    </row>
    <row r="72" spans="2:24" ht="15" customHeight="1" x14ac:dyDescent="0.25">
      <c r="B72" s="17" t="s">
        <v>0</v>
      </c>
      <c r="C72" s="21"/>
      <c r="D72" s="21">
        <v>4000</v>
      </c>
      <c r="E72" s="71">
        <v>0</v>
      </c>
      <c r="F72" s="62" t="s">
        <v>4</v>
      </c>
      <c r="M72" s="78">
        <v>1</v>
      </c>
      <c r="N72" s="79"/>
      <c r="O72" s="79"/>
      <c r="P72" s="82" t="s">
        <v>49</v>
      </c>
      <c r="Q72" s="80">
        <f>D72</f>
        <v>4000</v>
      </c>
      <c r="R72" s="81">
        <f>Q72</f>
        <v>4000</v>
      </c>
      <c r="S72" s="82" t="s">
        <v>14</v>
      </c>
      <c r="T72" s="83">
        <v>0</v>
      </c>
      <c r="V72" s="119"/>
      <c r="W72" s="120"/>
      <c r="X72" s="121"/>
    </row>
    <row r="73" spans="2:24" ht="15" customHeight="1" x14ac:dyDescent="0.25">
      <c r="B73" s="17" t="s">
        <v>1</v>
      </c>
      <c r="C73" s="21">
        <f t="shared" ref="C73:C79" si="0">D72+0.01</f>
        <v>4000.01</v>
      </c>
      <c r="D73" s="21">
        <f>D5*$D$82</f>
        <v>5938.4027143142266</v>
      </c>
      <c r="E73" s="61">
        <v>7.4999999999999997E-2</v>
      </c>
      <c r="F73" s="126">
        <v>300</v>
      </c>
      <c r="H73" s="131">
        <v>5000</v>
      </c>
      <c r="I73" s="131">
        <f>H73*0.2</f>
        <v>1000</v>
      </c>
      <c r="J73" s="21">
        <f>H73-I73</f>
        <v>4000</v>
      </c>
      <c r="K73" s="21">
        <f>J73*E73-F73</f>
        <v>0</v>
      </c>
      <c r="L73" s="136">
        <f>K73/H73</f>
        <v>0</v>
      </c>
      <c r="M73" s="78">
        <v>2</v>
      </c>
      <c r="N73" s="82" t="s">
        <v>50</v>
      </c>
      <c r="O73" s="80">
        <f>Q72+0.01</f>
        <v>4000.01</v>
      </c>
      <c r="P73" s="82" t="s">
        <v>49</v>
      </c>
      <c r="Q73" s="80">
        <f t="shared" ref="Q73:Q78" si="1">D73</f>
        <v>5938.4027143142266</v>
      </c>
      <c r="R73" s="81">
        <f t="shared" ref="R73:R78" si="2">Q73-Q72</f>
        <v>1938.4027143142266</v>
      </c>
      <c r="S73" s="84">
        <v>7.4999999999999997E-2</v>
      </c>
      <c r="T73" s="83">
        <f>R73*S73</f>
        <v>145.380203573567</v>
      </c>
      <c r="V73" s="1"/>
      <c r="W73" s="120"/>
      <c r="X73" s="121"/>
    </row>
    <row r="74" spans="2:24" ht="15" customHeight="1" x14ac:dyDescent="0.25">
      <c r="B74" s="17" t="s">
        <v>1</v>
      </c>
      <c r="C74" s="21">
        <f t="shared" si="0"/>
        <v>5938.4127143142268</v>
      </c>
      <c r="D74" s="21">
        <f>D6*$D$82</f>
        <v>7880.4399205874024</v>
      </c>
      <c r="E74" s="61">
        <v>0.15</v>
      </c>
      <c r="F74" s="126">
        <v>745.38020357356697</v>
      </c>
      <c r="M74" s="78">
        <v>3</v>
      </c>
      <c r="N74" s="82" t="s">
        <v>50</v>
      </c>
      <c r="O74" s="80">
        <f t="shared" ref="O74:O79" si="3">Q73+0.01</f>
        <v>5938.4127143142268</v>
      </c>
      <c r="P74" s="82" t="s">
        <v>49</v>
      </c>
      <c r="Q74" s="80">
        <f t="shared" si="1"/>
        <v>7880.4399205874024</v>
      </c>
      <c r="R74" s="81">
        <f t="shared" si="2"/>
        <v>1942.0372062731758</v>
      </c>
      <c r="S74" s="85">
        <v>0.15</v>
      </c>
      <c r="T74" s="83">
        <f>R74*S74</f>
        <v>291.30558094097637</v>
      </c>
      <c r="V74" s="1"/>
      <c r="W74" s="120"/>
      <c r="X74" s="121"/>
    </row>
    <row r="75" spans="2:24" ht="15" customHeight="1" x14ac:dyDescent="0.25">
      <c r="B75" s="17" t="s">
        <v>1</v>
      </c>
      <c r="C75" s="21">
        <f t="shared" si="0"/>
        <v>7880.4499205874026</v>
      </c>
      <c r="D75" s="21">
        <f>D7*$D$82</f>
        <v>9799.8508387693164</v>
      </c>
      <c r="E75" s="61">
        <v>0.22500000000000001</v>
      </c>
      <c r="F75" s="126">
        <v>1336.4131976176225</v>
      </c>
      <c r="H75" s="131">
        <v>10000</v>
      </c>
      <c r="I75" s="131">
        <f>H75*0.2</f>
        <v>2000</v>
      </c>
      <c r="J75" s="21">
        <f>H75-I75</f>
        <v>8000</v>
      </c>
      <c r="K75" s="21">
        <f>J75*E75-F75</f>
        <v>463.58680238237753</v>
      </c>
      <c r="L75" s="136"/>
      <c r="M75" s="78">
        <v>4</v>
      </c>
      <c r="N75" s="82" t="s">
        <v>50</v>
      </c>
      <c r="O75" s="80">
        <f t="shared" si="3"/>
        <v>7880.4499205874026</v>
      </c>
      <c r="P75" s="82" t="s">
        <v>49</v>
      </c>
      <c r="Q75" s="80">
        <f t="shared" si="1"/>
        <v>9799.8508387693164</v>
      </c>
      <c r="R75" s="81">
        <f t="shared" si="2"/>
        <v>1919.410918181914</v>
      </c>
      <c r="S75" s="84">
        <v>0.22500000000000001</v>
      </c>
      <c r="T75" s="83">
        <f>R75*S75</f>
        <v>431.86745659093066</v>
      </c>
      <c r="V75" s="1"/>
      <c r="W75" s="120"/>
      <c r="X75" s="120"/>
    </row>
    <row r="76" spans="2:24" ht="15" customHeight="1" x14ac:dyDescent="0.25">
      <c r="B76" s="17" t="s">
        <v>1</v>
      </c>
      <c r="C76" s="21">
        <f t="shared" si="0"/>
        <v>9799.8608387693166</v>
      </c>
      <c r="D76" s="21">
        <v>50000</v>
      </c>
      <c r="E76" s="61">
        <v>0.27500000000000002</v>
      </c>
      <c r="F76" s="126">
        <v>1826.4057395560883</v>
      </c>
      <c r="H76" s="131">
        <v>13420</v>
      </c>
      <c r="I76" s="131">
        <f>H76*0.2</f>
        <v>2684</v>
      </c>
      <c r="J76" s="21">
        <f>H76-I76</f>
        <v>10736</v>
      </c>
      <c r="K76" s="21">
        <f>J76*E76-F76</f>
        <v>1125.9942604439118</v>
      </c>
      <c r="L76" s="136">
        <f>K76/H76</f>
        <v>8.390419228345096E-2</v>
      </c>
      <c r="M76" s="78">
        <v>5</v>
      </c>
      <c r="N76" s="82" t="s">
        <v>50</v>
      </c>
      <c r="O76" s="80">
        <f t="shared" si="3"/>
        <v>9799.8608387693166</v>
      </c>
      <c r="P76" s="82" t="s">
        <v>49</v>
      </c>
      <c r="Q76" s="80">
        <f t="shared" si="1"/>
        <v>50000</v>
      </c>
      <c r="R76" s="81">
        <f t="shared" si="2"/>
        <v>40200.149161230685</v>
      </c>
      <c r="S76" s="84">
        <v>0.27500000000000002</v>
      </c>
      <c r="T76" s="83">
        <f>R76*S76</f>
        <v>11055.04101933844</v>
      </c>
      <c r="V76" s="1"/>
      <c r="W76" s="122"/>
      <c r="X76" s="120"/>
    </row>
    <row r="77" spans="2:24" ht="15" customHeight="1" x14ac:dyDescent="0.25">
      <c r="B77" s="17" t="s">
        <v>1</v>
      </c>
      <c r="C77" s="21">
        <f t="shared" si="0"/>
        <v>50000.01</v>
      </c>
      <c r="D77" s="21">
        <v>80000</v>
      </c>
      <c r="E77" s="61">
        <v>0.32500000000000001</v>
      </c>
      <c r="F77" s="126">
        <v>4326.4057395560876</v>
      </c>
      <c r="M77" s="78">
        <v>6</v>
      </c>
      <c r="N77" s="82"/>
      <c r="O77" s="80">
        <f t="shared" si="3"/>
        <v>50000.01</v>
      </c>
      <c r="P77" s="82" t="s">
        <v>49</v>
      </c>
      <c r="Q77" s="80">
        <f t="shared" si="1"/>
        <v>80000</v>
      </c>
      <c r="R77" s="81">
        <f t="shared" si="2"/>
        <v>30000</v>
      </c>
      <c r="S77" s="84">
        <v>0.32500000000000001</v>
      </c>
      <c r="T77" s="83">
        <f t="shared" ref="T77:T78" si="4">R77*S77</f>
        <v>9750</v>
      </c>
      <c r="V77" s="1"/>
      <c r="W77" s="122"/>
      <c r="X77" s="120"/>
    </row>
    <row r="78" spans="2:24" ht="15" customHeight="1" x14ac:dyDescent="0.25">
      <c r="B78" s="17" t="s">
        <v>1</v>
      </c>
      <c r="C78" s="21">
        <f t="shared" si="0"/>
        <v>80000.009999999995</v>
      </c>
      <c r="D78" s="21">
        <v>130000</v>
      </c>
      <c r="E78" s="61">
        <v>0.375</v>
      </c>
      <c r="F78" s="126">
        <v>8326.4057395560867</v>
      </c>
      <c r="M78" s="78">
        <v>7</v>
      </c>
      <c r="N78" s="82"/>
      <c r="O78" s="80">
        <f t="shared" si="3"/>
        <v>80000.009999999995</v>
      </c>
      <c r="P78" s="82" t="s">
        <v>49</v>
      </c>
      <c r="Q78" s="80">
        <f t="shared" si="1"/>
        <v>130000</v>
      </c>
      <c r="R78" s="81">
        <f t="shared" si="2"/>
        <v>50000</v>
      </c>
      <c r="S78" s="84">
        <v>0.375</v>
      </c>
      <c r="T78" s="83">
        <f t="shared" si="4"/>
        <v>18750</v>
      </c>
      <c r="V78" s="1"/>
      <c r="W78" s="122"/>
      <c r="X78" s="120"/>
    </row>
    <row r="79" spans="2:24" ht="15" customHeight="1" x14ac:dyDescent="0.25">
      <c r="B79" s="17" t="s">
        <v>1</v>
      </c>
      <c r="C79" s="21">
        <f t="shared" si="0"/>
        <v>130000.01</v>
      </c>
      <c r="D79" s="21"/>
      <c r="E79" s="61">
        <v>0.42499999999999999</v>
      </c>
      <c r="F79" s="126">
        <v>14826.405739556087</v>
      </c>
      <c r="M79" s="78">
        <v>8</v>
      </c>
      <c r="N79" s="82"/>
      <c r="O79" s="80">
        <f t="shared" si="3"/>
        <v>130000.01</v>
      </c>
      <c r="P79" s="82"/>
      <c r="Q79" s="80"/>
      <c r="R79" s="81"/>
      <c r="S79" s="84">
        <v>0.42499999999999999</v>
      </c>
      <c r="T79" s="83"/>
      <c r="V79" s="1"/>
      <c r="W79" s="122"/>
      <c r="X79" s="120"/>
    </row>
    <row r="80" spans="2:24" ht="5.25" customHeight="1" thickBot="1" x14ac:dyDescent="0.3">
      <c r="B80" s="113"/>
      <c r="C80" s="114"/>
      <c r="D80" s="114"/>
      <c r="E80" s="115"/>
      <c r="F80" s="116"/>
      <c r="M80" s="102"/>
      <c r="N80" s="103"/>
      <c r="O80" s="104"/>
      <c r="P80" s="104"/>
      <c r="Q80" s="103"/>
      <c r="R80" s="103"/>
      <c r="S80" s="103"/>
      <c r="T80" s="105"/>
      <c r="V80" s="120"/>
      <c r="W80" s="120"/>
      <c r="X80" s="120"/>
    </row>
    <row r="81" spans="2:28" ht="19.5" thickBot="1" x14ac:dyDescent="0.35">
      <c r="M81" s="88"/>
      <c r="N81" s="99"/>
      <c r="O81" s="100"/>
      <c r="P81" s="110"/>
      <c r="Q81" s="111"/>
      <c r="R81" s="111"/>
      <c r="S81" s="112"/>
      <c r="T81" s="101">
        <f>SUM(T72:T79)</f>
        <v>40423.594260443911</v>
      </c>
      <c r="V81" s="120"/>
      <c r="W81" s="120"/>
      <c r="X81" s="87"/>
      <c r="Y81" s="13"/>
      <c r="Z81" s="13"/>
      <c r="AA81" s="13"/>
      <c r="AB81" s="13"/>
    </row>
    <row r="82" spans="2:28" x14ac:dyDescent="0.25">
      <c r="D82">
        <f>D72/D4</f>
        <v>2.1008624040168491</v>
      </c>
      <c r="F82" s="21"/>
      <c r="G82" s="18"/>
      <c r="H82" s="18"/>
      <c r="V82" s="120"/>
      <c r="W82" s="120"/>
      <c r="X82" s="119"/>
    </row>
    <row r="83" spans="2:28" ht="15.75" thickBot="1" x14ac:dyDescent="0.3"/>
    <row r="84" spans="2:28" ht="15.75" x14ac:dyDescent="0.25">
      <c r="B84" s="231" t="s">
        <v>120</v>
      </c>
      <c r="C84" s="232"/>
      <c r="D84" s="232"/>
      <c r="E84" s="232"/>
      <c r="F84" s="233"/>
      <c r="K84" s="160" t="s">
        <v>139</v>
      </c>
      <c r="L84" s="237" t="s">
        <v>77</v>
      </c>
      <c r="M84" s="238" t="s">
        <v>79</v>
      </c>
      <c r="O84" s="239" t="s">
        <v>74</v>
      </c>
      <c r="P84" s="239"/>
      <c r="Q84" s="239"/>
      <c r="R84" s="237" t="s">
        <v>80</v>
      </c>
      <c r="S84" s="234" t="s">
        <v>78</v>
      </c>
      <c r="T84" s="234"/>
    </row>
    <row r="85" spans="2:28" ht="15.75" x14ac:dyDescent="0.25">
      <c r="B85" s="75"/>
      <c r="C85" s="76"/>
      <c r="D85" s="76"/>
      <c r="E85" s="76"/>
      <c r="F85" s="77"/>
      <c r="L85" s="237"/>
      <c r="M85" s="238"/>
      <c r="O85" s="135" t="s">
        <v>75</v>
      </c>
      <c r="Q85" s="135" t="s">
        <v>76</v>
      </c>
      <c r="R85" s="237"/>
      <c r="S85" s="234"/>
      <c r="T85" s="234"/>
      <c r="U85" s="134"/>
    </row>
    <row r="86" spans="2:28" ht="27" x14ac:dyDescent="0.25">
      <c r="B86" s="210" t="s">
        <v>39</v>
      </c>
      <c r="C86" s="209"/>
      <c r="D86" s="209"/>
      <c r="E86" s="133" t="s">
        <v>2</v>
      </c>
      <c r="F86" s="70" t="s">
        <v>3</v>
      </c>
      <c r="L86" s="1">
        <v>788</v>
      </c>
      <c r="M86" s="154">
        <v>1039</v>
      </c>
      <c r="O86">
        <v>1302</v>
      </c>
      <c r="Q86">
        <v>1320</v>
      </c>
      <c r="R86" s="1">
        <v>1518</v>
      </c>
      <c r="T86" s="1">
        <v>1621</v>
      </c>
    </row>
    <row r="87" spans="2:28" x14ac:dyDescent="0.25">
      <c r="B87" s="17" t="s">
        <v>0</v>
      </c>
      <c r="C87" s="21"/>
      <c r="D87" s="21">
        <v>4000</v>
      </c>
      <c r="E87" s="71">
        <v>0</v>
      </c>
      <c r="F87" s="62" t="s">
        <v>4</v>
      </c>
      <c r="L87">
        <v>4</v>
      </c>
      <c r="M87" s="161">
        <v>2</v>
      </c>
      <c r="O87">
        <v>4</v>
      </c>
      <c r="Q87">
        <v>4</v>
      </c>
      <c r="R87">
        <v>4</v>
      </c>
      <c r="T87">
        <v>4</v>
      </c>
    </row>
    <row r="88" spans="2:28" x14ac:dyDescent="0.25">
      <c r="B88" s="17" t="s">
        <v>1</v>
      </c>
      <c r="C88" s="21">
        <f t="shared" ref="C88:C91" si="5">D87+0.01</f>
        <v>4000.01</v>
      </c>
      <c r="D88" s="21">
        <v>5938.4027143142266</v>
      </c>
      <c r="E88" s="61">
        <v>7.4999999999999997E-2</v>
      </c>
      <c r="F88" s="126">
        <v>300</v>
      </c>
      <c r="L88" s="1">
        <f>L86*L87</f>
        <v>3152</v>
      </c>
      <c r="M88" s="154">
        <f>M86*M87</f>
        <v>2078</v>
      </c>
      <c r="O88" s="1">
        <f>O86*O87</f>
        <v>5208</v>
      </c>
      <c r="Q88" s="1">
        <f>Q86*Q87</f>
        <v>5280</v>
      </c>
      <c r="R88" s="1">
        <f>R86*R87</f>
        <v>6072</v>
      </c>
      <c r="T88" s="1">
        <f>T86*T87</f>
        <v>6484</v>
      </c>
    </row>
    <row r="89" spans="2:28" x14ac:dyDescent="0.25">
      <c r="B89" s="17" t="s">
        <v>1</v>
      </c>
      <c r="C89" s="21">
        <f t="shared" si="5"/>
        <v>5938.4127143142268</v>
      </c>
      <c r="D89" s="21">
        <v>7880.4399205874024</v>
      </c>
      <c r="E89" s="61">
        <v>0.15</v>
      </c>
      <c r="F89" s="126">
        <v>745.38020357356697</v>
      </c>
    </row>
    <row r="90" spans="2:28" x14ac:dyDescent="0.25">
      <c r="B90" s="17" t="s">
        <v>1</v>
      </c>
      <c r="C90" s="21">
        <f t="shared" si="5"/>
        <v>7880.4499205874026</v>
      </c>
      <c r="D90" s="21">
        <v>9799.8508387693164</v>
      </c>
      <c r="E90" s="61">
        <v>0.22500000000000001</v>
      </c>
      <c r="F90" s="126">
        <v>1336.4131976176225</v>
      </c>
    </row>
    <row r="91" spans="2:28" x14ac:dyDescent="0.25">
      <c r="B91" s="17" t="s">
        <v>6</v>
      </c>
      <c r="C91" s="21">
        <f t="shared" si="5"/>
        <v>9799.8608387693166</v>
      </c>
      <c r="D91" s="21"/>
      <c r="E91" s="61">
        <v>0.27500000000000002</v>
      </c>
      <c r="F91" s="126">
        <v>1826.4057395560883</v>
      </c>
    </row>
    <row r="92" spans="2:28" ht="5.25" customHeight="1" thickBot="1" x14ac:dyDescent="0.3">
      <c r="B92" s="113"/>
      <c r="C92" s="114"/>
      <c r="D92" s="114"/>
      <c r="E92" s="115"/>
      <c r="F92" s="116"/>
      <c r="V92" s="120"/>
      <c r="W92" s="120"/>
      <c r="X92" s="120"/>
    </row>
  </sheetData>
  <mergeCells count="25">
    <mergeCell ref="B86:D86"/>
    <mergeCell ref="L84:L85"/>
    <mergeCell ref="R84:R85"/>
    <mergeCell ref="M84:M85"/>
    <mergeCell ref="O84:Q84"/>
    <mergeCell ref="S84:T85"/>
    <mergeCell ref="B12:F12"/>
    <mergeCell ref="B13:D13"/>
    <mergeCell ref="I14:I15"/>
    <mergeCell ref="D41:E41"/>
    <mergeCell ref="D15:E15"/>
    <mergeCell ref="D28:E28"/>
    <mergeCell ref="B69:F69"/>
    <mergeCell ref="B71:D71"/>
    <mergeCell ref="J41:J42"/>
    <mergeCell ref="I41:I42"/>
    <mergeCell ref="B84:F84"/>
    <mergeCell ref="B2:F2"/>
    <mergeCell ref="B3:D3"/>
    <mergeCell ref="B55:F55"/>
    <mergeCell ref="B57:D57"/>
    <mergeCell ref="B25:F25"/>
    <mergeCell ref="B26:D26"/>
    <mergeCell ref="B38:F38"/>
    <mergeCell ref="B39:D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5BF6-D624-4A3C-B945-4D537CA9359B}">
  <sheetPr>
    <tabColor theme="5" tint="0.79998168889431442"/>
  </sheetPr>
  <dimension ref="B1:AB44"/>
  <sheetViews>
    <sheetView zoomScaleNormal="100" workbookViewId="0">
      <selection activeCell="F31" sqref="F31"/>
    </sheetView>
  </sheetViews>
  <sheetFormatPr defaultRowHeight="15" x14ac:dyDescent="0.25"/>
  <cols>
    <col min="1" max="1" width="1.140625" customWidth="1"/>
    <col min="2" max="2" width="5.5703125" customWidth="1"/>
    <col min="3" max="3" width="10" customWidth="1"/>
    <col min="4" max="4" width="10.85546875" customWidth="1"/>
    <col min="5" max="5" width="9.85546875" customWidth="1"/>
    <col min="6" max="6" width="22.7109375" customWidth="1"/>
    <col min="7" max="7" width="1.85546875" customWidth="1"/>
    <col min="8" max="8" width="11.85546875" customWidth="1"/>
    <col min="9" max="9" width="12.7109375" customWidth="1"/>
    <col min="10" max="10" width="11.140625" customWidth="1"/>
    <col min="11" max="11" width="11.85546875" customWidth="1"/>
    <col min="12" max="12" width="11.5703125" customWidth="1"/>
    <col min="13" max="13" width="8.140625" customWidth="1"/>
    <col min="14" max="14" width="4.5703125" customWidth="1"/>
    <col min="15" max="15" width="11.28515625" customWidth="1"/>
    <col min="16" max="16" width="5.140625" customWidth="1"/>
    <col min="17" max="17" width="11.5703125" customWidth="1"/>
    <col min="18" max="18" width="17.5703125" customWidth="1"/>
    <col min="19" max="19" width="9.140625" customWidth="1"/>
    <col min="20" max="20" width="15.85546875" customWidth="1"/>
    <col min="21" max="21" width="6.140625" customWidth="1"/>
    <col min="22" max="22" width="9.140625" customWidth="1"/>
  </cols>
  <sheetData>
    <row r="1" spans="2:24" ht="5.25" customHeight="1" thickBot="1" x14ac:dyDescent="0.3"/>
    <row r="2" spans="2:24" ht="19.5" customHeight="1" x14ac:dyDescent="0.25">
      <c r="B2" s="197" t="s">
        <v>35</v>
      </c>
      <c r="C2" s="198"/>
      <c r="D2" s="198"/>
      <c r="E2" s="198"/>
      <c r="F2" s="199"/>
    </row>
    <row r="3" spans="2:24" ht="26.25" customHeight="1" x14ac:dyDescent="0.25">
      <c r="B3" s="200" t="s">
        <v>39</v>
      </c>
      <c r="C3" s="201"/>
      <c r="D3" s="201"/>
      <c r="E3" s="19" t="s">
        <v>2</v>
      </c>
      <c r="F3" s="72" t="s">
        <v>3</v>
      </c>
      <c r="Q3" s="21"/>
      <c r="R3" s="118"/>
      <c r="S3" s="21"/>
      <c r="T3" s="118"/>
    </row>
    <row r="4" spans="2:24" ht="15" customHeight="1" x14ac:dyDescent="0.25">
      <c r="B4" s="17" t="s">
        <v>0</v>
      </c>
      <c r="C4" s="21"/>
      <c r="D4" s="21">
        <v>1903.98</v>
      </c>
      <c r="E4" s="71">
        <v>0</v>
      </c>
      <c r="F4" s="62" t="s">
        <v>4</v>
      </c>
      <c r="H4" s="23"/>
      <c r="I4" s="23"/>
      <c r="J4" s="23"/>
      <c r="K4" s="23"/>
      <c r="M4" s="21"/>
      <c r="O4" s="118"/>
    </row>
    <row r="5" spans="2:24" ht="15" customHeight="1" x14ac:dyDescent="0.25">
      <c r="B5" s="17" t="s">
        <v>1</v>
      </c>
      <c r="C5" s="21">
        <v>1903.98</v>
      </c>
      <c r="D5" s="21">
        <v>2826.65</v>
      </c>
      <c r="E5" s="61">
        <v>7.4999999999999997E-2</v>
      </c>
      <c r="F5" s="65">
        <v>142.80000000000001</v>
      </c>
      <c r="H5" s="131"/>
      <c r="I5" s="23"/>
      <c r="J5" s="21"/>
      <c r="K5" s="21"/>
      <c r="L5" s="18"/>
      <c r="N5" s="18"/>
      <c r="O5" s="18"/>
      <c r="P5" s="18"/>
      <c r="Q5" s="18"/>
      <c r="R5" s="1"/>
    </row>
    <row r="6" spans="2:24" ht="15" customHeight="1" x14ac:dyDescent="0.25">
      <c r="B6" s="17" t="s">
        <v>1</v>
      </c>
      <c r="C6" s="21">
        <v>2826.66</v>
      </c>
      <c r="D6" s="21">
        <v>3751.05</v>
      </c>
      <c r="E6" s="61">
        <v>0.15</v>
      </c>
      <c r="F6" s="65">
        <v>354.8</v>
      </c>
      <c r="H6" s="131"/>
      <c r="I6" s="23"/>
      <c r="J6" s="21"/>
      <c r="K6" s="21"/>
      <c r="L6" s="18"/>
      <c r="N6" s="18"/>
      <c r="O6" s="18"/>
      <c r="P6" s="18"/>
      <c r="Q6" s="18"/>
      <c r="R6" s="1"/>
    </row>
    <row r="7" spans="2:24" ht="15" customHeight="1" x14ac:dyDescent="0.25">
      <c r="B7" s="17" t="s">
        <v>1</v>
      </c>
      <c r="C7" s="21">
        <v>3751.06</v>
      </c>
      <c r="D7" s="21">
        <v>4664.68</v>
      </c>
      <c r="E7" s="61">
        <v>0.22500000000000001</v>
      </c>
      <c r="F7" s="65">
        <v>636.13</v>
      </c>
      <c r="H7" s="131"/>
      <c r="I7" s="23"/>
      <c r="J7" s="21"/>
      <c r="K7" s="21"/>
      <c r="L7" s="18"/>
      <c r="N7" s="18"/>
      <c r="O7" s="18"/>
      <c r="P7" s="18"/>
      <c r="Q7" s="18"/>
      <c r="R7" s="1"/>
    </row>
    <row r="8" spans="2:24" ht="15" customHeight="1" x14ac:dyDescent="0.25">
      <c r="B8" s="17" t="s">
        <v>6</v>
      </c>
      <c r="C8" s="21">
        <v>4664.6899999999996</v>
      </c>
      <c r="D8" s="21"/>
      <c r="E8" s="61">
        <v>0.27500000000000002</v>
      </c>
      <c r="F8" s="65">
        <v>869.36</v>
      </c>
      <c r="H8" s="131"/>
      <c r="I8" s="23"/>
      <c r="J8" s="21"/>
      <c r="K8" s="21"/>
      <c r="L8" s="87"/>
      <c r="P8" s="18"/>
      <c r="Q8" s="18"/>
    </row>
    <row r="9" spans="2:24" ht="5.25" customHeight="1" thickBot="1" x14ac:dyDescent="0.3">
      <c r="B9" s="59"/>
      <c r="C9" s="27"/>
      <c r="D9" s="27"/>
      <c r="E9" s="60"/>
      <c r="F9" s="64"/>
      <c r="H9" s="18"/>
      <c r="I9" s="18"/>
      <c r="J9" s="18"/>
      <c r="K9" s="18"/>
      <c r="L9" s="18"/>
      <c r="N9" s="18"/>
      <c r="O9" s="18"/>
      <c r="P9" s="18"/>
      <c r="Q9" s="18"/>
    </row>
    <row r="10" spans="2:24" ht="12.75" customHeight="1" x14ac:dyDescent="0.3">
      <c r="B10" s="66"/>
      <c r="C10" s="67"/>
      <c r="D10" s="68"/>
      <c r="E10" s="69" t="s">
        <v>37</v>
      </c>
      <c r="F10" s="132" t="s">
        <v>38</v>
      </c>
      <c r="H10" s="18"/>
      <c r="I10" s="18"/>
      <c r="J10" s="18"/>
      <c r="K10" s="21"/>
      <c r="L10" s="18"/>
      <c r="N10" s="93" t="s">
        <v>43</v>
      </c>
      <c r="O10" s="157">
        <v>2026</v>
      </c>
      <c r="P10" s="94" t="s">
        <v>137</v>
      </c>
      <c r="Q10" s="13"/>
    </row>
    <row r="11" spans="2:24" ht="9" customHeight="1" thickBot="1" x14ac:dyDescent="0.3"/>
    <row r="12" spans="2:24" ht="18" customHeight="1" x14ac:dyDescent="0.25">
      <c r="B12" s="205" t="s">
        <v>163</v>
      </c>
      <c r="C12" s="206"/>
      <c r="D12" s="206"/>
      <c r="E12" s="206"/>
      <c r="F12" s="207"/>
      <c r="M12" s="109"/>
      <c r="N12" s="106"/>
      <c r="O12" s="106"/>
      <c r="P12" s="106"/>
      <c r="Q12" s="106"/>
      <c r="R12" s="106"/>
      <c r="S12" s="106"/>
      <c r="T12" s="107"/>
    </row>
    <row r="13" spans="2:24" ht="4.5" customHeight="1" thickBot="1" x14ac:dyDescent="0.3">
      <c r="B13" s="174"/>
      <c r="C13" s="76"/>
      <c r="D13" s="76"/>
      <c r="E13" s="76"/>
      <c r="F13" s="175"/>
      <c r="M13" s="89"/>
      <c r="N13" s="90"/>
      <c r="O13" s="90"/>
      <c r="P13" s="90"/>
      <c r="Q13" s="91"/>
      <c r="R13" s="90"/>
      <c r="S13" s="90"/>
      <c r="T13" s="92"/>
    </row>
    <row r="14" spans="2:24" ht="15" customHeight="1" x14ac:dyDescent="0.25">
      <c r="B14" s="208" t="s">
        <v>39</v>
      </c>
      <c r="C14" s="209"/>
      <c r="D14" s="209"/>
      <c r="E14" s="57" t="s">
        <v>2</v>
      </c>
      <c r="F14" s="176" t="s">
        <v>3</v>
      </c>
      <c r="H14" s="22" t="s">
        <v>57</v>
      </c>
      <c r="I14" s="22" t="s">
        <v>126</v>
      </c>
      <c r="J14" s="22" t="s">
        <v>60</v>
      </c>
      <c r="K14" s="22" t="s">
        <v>59</v>
      </c>
      <c r="L14" t="s">
        <v>42</v>
      </c>
      <c r="M14" s="95" t="s">
        <v>45</v>
      </c>
      <c r="N14" s="96"/>
      <c r="O14" s="96"/>
      <c r="P14" s="96"/>
      <c r="Q14" s="96"/>
      <c r="R14" s="96" t="s">
        <v>46</v>
      </c>
      <c r="S14" s="97" t="s">
        <v>47</v>
      </c>
      <c r="T14" s="98" t="s">
        <v>48</v>
      </c>
      <c r="V14" s="119"/>
      <c r="W14" s="119"/>
      <c r="X14" s="119"/>
    </row>
    <row r="15" spans="2:24" ht="15" customHeight="1" x14ac:dyDescent="0.25">
      <c r="B15" s="177" t="s">
        <v>0</v>
      </c>
      <c r="C15" s="21"/>
      <c r="D15" s="21">
        <v>4000</v>
      </c>
      <c r="E15" s="71">
        <v>0</v>
      </c>
      <c r="F15" s="178" t="s">
        <v>4</v>
      </c>
      <c r="M15" s="78">
        <v>1</v>
      </c>
      <c r="N15" s="79"/>
      <c r="O15" s="79"/>
      <c r="P15" s="82" t="s">
        <v>49</v>
      </c>
      <c r="Q15" s="80">
        <f>D15</f>
        <v>4000</v>
      </c>
      <c r="R15" s="81">
        <f>Q15</f>
        <v>4000</v>
      </c>
      <c r="S15" s="82" t="s">
        <v>14</v>
      </c>
      <c r="T15" s="83">
        <v>0</v>
      </c>
      <c r="V15" s="119"/>
      <c r="W15" s="120"/>
      <c r="X15" s="121"/>
    </row>
    <row r="16" spans="2:24" ht="15" customHeight="1" x14ac:dyDescent="0.25">
      <c r="B16" s="177" t="s">
        <v>1</v>
      </c>
      <c r="C16" s="21">
        <f t="shared" ref="C16:C22" si="0">D15+0.01</f>
        <v>4000.01</v>
      </c>
      <c r="D16" s="21">
        <f>D5*$D$25</f>
        <v>5938.4027143142266</v>
      </c>
      <c r="E16" s="61">
        <v>7.4999999999999997E-2</v>
      </c>
      <c r="F16" s="195">
        <f>D15*E16</f>
        <v>300</v>
      </c>
      <c r="H16" s="131">
        <v>5000</v>
      </c>
      <c r="I16" s="131">
        <f>H16*0.2</f>
        <v>1000</v>
      </c>
      <c r="J16" s="21">
        <f>H16-I16</f>
        <v>4000</v>
      </c>
      <c r="K16" s="21">
        <f>J16*E16-F16</f>
        <v>0</v>
      </c>
      <c r="L16" s="136">
        <f>K16/H16</f>
        <v>0</v>
      </c>
      <c r="M16" s="78">
        <v>2</v>
      </c>
      <c r="N16" s="82" t="s">
        <v>50</v>
      </c>
      <c r="O16" s="80">
        <f>Q15+0.01</f>
        <v>4000.01</v>
      </c>
      <c r="P16" s="82" t="s">
        <v>49</v>
      </c>
      <c r="Q16" s="80">
        <f t="shared" ref="Q16:Q21" si="1">D16</f>
        <v>5938.4027143142266</v>
      </c>
      <c r="R16" s="81">
        <f t="shared" ref="R16:R22" si="2">Q16-Q15</f>
        <v>1938.4027143142266</v>
      </c>
      <c r="S16" s="84">
        <v>7.4999999999999997E-2</v>
      </c>
      <c r="T16" s="83">
        <f>R16*S16</f>
        <v>145.380203573567</v>
      </c>
      <c r="V16" s="1"/>
      <c r="W16" s="120"/>
      <c r="X16" s="121"/>
    </row>
    <row r="17" spans="2:28" ht="15" customHeight="1" x14ac:dyDescent="0.25">
      <c r="B17" s="177" t="s">
        <v>1</v>
      </c>
      <c r="C17" s="21">
        <f t="shared" si="0"/>
        <v>5938.4127143142268</v>
      </c>
      <c r="D17" s="21">
        <f>D6*$D$25</f>
        <v>7880.4399205874024</v>
      </c>
      <c r="E17" s="61">
        <v>0.15</v>
      </c>
      <c r="F17" s="195">
        <f>D15*E17+(D16-D15)*(E17-E16)</f>
        <v>745.38020357356697</v>
      </c>
      <c r="M17" s="78">
        <v>3</v>
      </c>
      <c r="N17" s="82" t="s">
        <v>50</v>
      </c>
      <c r="O17" s="80">
        <f t="shared" ref="O17:O22" si="3">Q16+0.01</f>
        <v>5938.4127143142268</v>
      </c>
      <c r="P17" s="82" t="s">
        <v>49</v>
      </c>
      <c r="Q17" s="80">
        <f t="shared" si="1"/>
        <v>7880.4399205874024</v>
      </c>
      <c r="R17" s="81">
        <f t="shared" si="2"/>
        <v>1942.0372062731758</v>
      </c>
      <c r="S17" s="85">
        <v>0.15</v>
      </c>
      <c r="T17" s="83">
        <f>R17*S17</f>
        <v>291.30558094097637</v>
      </c>
      <c r="V17" s="1"/>
      <c r="W17" s="120"/>
      <c r="X17" s="121"/>
    </row>
    <row r="18" spans="2:28" ht="15" customHeight="1" x14ac:dyDescent="0.25">
      <c r="B18" s="177" t="s">
        <v>1</v>
      </c>
      <c r="C18" s="21">
        <f t="shared" si="0"/>
        <v>7880.4499205874026</v>
      </c>
      <c r="D18" s="21">
        <f>D7*$D$25</f>
        <v>9799.8508387693164</v>
      </c>
      <c r="E18" s="61">
        <v>0.22500000000000001</v>
      </c>
      <c r="F18" s="195">
        <f>D15*E18+(D16-D15)*(E18-E16)+(D17-D16)*(E18-E17)</f>
        <v>1336.4131976176225</v>
      </c>
      <c r="H18" s="131">
        <v>10000</v>
      </c>
      <c r="I18" s="131">
        <f>H18*0.2</f>
        <v>2000</v>
      </c>
      <c r="J18" s="21">
        <f>H18-I18</f>
        <v>8000</v>
      </c>
      <c r="K18" s="21">
        <f>J18*E18-F18</f>
        <v>463.58680238237753</v>
      </c>
      <c r="L18" s="136"/>
      <c r="M18" s="78">
        <v>4</v>
      </c>
      <c r="N18" s="82" t="s">
        <v>50</v>
      </c>
      <c r="O18" s="80">
        <f t="shared" si="3"/>
        <v>7880.4499205874026</v>
      </c>
      <c r="P18" s="82" t="s">
        <v>49</v>
      </c>
      <c r="Q18" s="80">
        <f t="shared" si="1"/>
        <v>9799.8508387693164</v>
      </c>
      <c r="R18" s="81">
        <f t="shared" si="2"/>
        <v>1919.410918181914</v>
      </c>
      <c r="S18" s="84">
        <v>0.22500000000000001</v>
      </c>
      <c r="T18" s="83">
        <f>R18*S18</f>
        <v>431.86745659093066</v>
      </c>
      <c r="V18" s="1"/>
      <c r="W18" s="120"/>
      <c r="X18" s="120"/>
    </row>
    <row r="19" spans="2:28" ht="15" customHeight="1" x14ac:dyDescent="0.25">
      <c r="B19" s="177" t="s">
        <v>1</v>
      </c>
      <c r="C19" s="21">
        <f t="shared" si="0"/>
        <v>9799.8608387693166</v>
      </c>
      <c r="D19" s="21">
        <v>50000</v>
      </c>
      <c r="E19" s="61">
        <v>0.27500000000000002</v>
      </c>
      <c r="F19" s="195">
        <f>D15*E19+(D16-D15)*(E19-E16)+(D17-D16)*(E19-E17)+(D18-D17)*(E19-E18)</f>
        <v>1826.4057395560883</v>
      </c>
      <c r="H19" s="131">
        <v>13420</v>
      </c>
      <c r="I19" s="131">
        <f>H19*0.2</f>
        <v>2684</v>
      </c>
      <c r="J19" s="21">
        <f>H19-I19</f>
        <v>10736</v>
      </c>
      <c r="K19" s="21">
        <f>J19*E19-F19</f>
        <v>1125.9942604439118</v>
      </c>
      <c r="L19" s="136">
        <f>K19/H19</f>
        <v>8.390419228345096E-2</v>
      </c>
      <c r="M19" s="78">
        <v>5</v>
      </c>
      <c r="N19" s="82" t="s">
        <v>50</v>
      </c>
      <c r="O19" s="80">
        <f t="shared" si="3"/>
        <v>9799.8608387693166</v>
      </c>
      <c r="P19" s="82" t="s">
        <v>49</v>
      </c>
      <c r="Q19" s="80">
        <f t="shared" si="1"/>
        <v>50000</v>
      </c>
      <c r="R19" s="81">
        <f t="shared" si="2"/>
        <v>40200.149161230685</v>
      </c>
      <c r="S19" s="84">
        <v>0.27500000000000002</v>
      </c>
      <c r="T19" s="83">
        <f>R19*S19</f>
        <v>11055.04101933844</v>
      </c>
      <c r="V19" s="1"/>
      <c r="W19" s="122"/>
      <c r="X19" s="120"/>
    </row>
    <row r="20" spans="2:28" ht="15" customHeight="1" x14ac:dyDescent="0.25">
      <c r="B20" s="177" t="s">
        <v>1</v>
      </c>
      <c r="C20" s="21">
        <f t="shared" si="0"/>
        <v>50000.01</v>
      </c>
      <c r="D20" s="21">
        <v>80000</v>
      </c>
      <c r="E20" s="61">
        <v>0.32500000000000001</v>
      </c>
      <c r="F20" s="195">
        <f>D15*E20+(D16-D15)*(E20-E16)+(D17-D16)*(E20-E17)+(D18-D17)*(E20-E18)+(D19-D18)*(E20-E19)</f>
        <v>4326.4057395560876</v>
      </c>
      <c r="H20" s="131"/>
      <c r="M20" s="78">
        <v>6</v>
      </c>
      <c r="N20" s="82" t="s">
        <v>50</v>
      </c>
      <c r="O20" s="80">
        <f t="shared" si="3"/>
        <v>50000.01</v>
      </c>
      <c r="P20" s="82" t="s">
        <v>49</v>
      </c>
      <c r="Q20" s="80">
        <f t="shared" si="1"/>
        <v>80000</v>
      </c>
      <c r="R20" s="81">
        <f t="shared" si="2"/>
        <v>30000</v>
      </c>
      <c r="S20" s="84">
        <v>0.32500000000000001</v>
      </c>
      <c r="T20" s="83">
        <f t="shared" ref="T20:T22" si="4">R20*S20</f>
        <v>9750</v>
      </c>
      <c r="V20" s="1"/>
      <c r="W20" s="122"/>
      <c r="X20" s="120"/>
    </row>
    <row r="21" spans="2:28" ht="15" customHeight="1" x14ac:dyDescent="0.25">
      <c r="B21" s="177" t="s">
        <v>1</v>
      </c>
      <c r="C21" s="21">
        <f t="shared" si="0"/>
        <v>80000.009999999995</v>
      </c>
      <c r="D21" s="21">
        <v>130000</v>
      </c>
      <c r="E21" s="61">
        <v>0.375</v>
      </c>
      <c r="F21" s="195">
        <f>D15*E21+(D16-D15)*(E21-E16)+(D17-D16)*(E21-E17)+(D18-D17)*(E21-E18)+(D19-D18)*(E21-E19)+(D20-D19)*(E21-E20)</f>
        <v>8326.4057395560867</v>
      </c>
      <c r="M21" s="78">
        <v>7</v>
      </c>
      <c r="N21" s="82" t="s">
        <v>50</v>
      </c>
      <c r="O21" s="80">
        <f t="shared" si="3"/>
        <v>80000.009999999995</v>
      </c>
      <c r="P21" s="82" t="s">
        <v>49</v>
      </c>
      <c r="Q21" s="80">
        <f t="shared" si="1"/>
        <v>130000</v>
      </c>
      <c r="R21" s="81">
        <f t="shared" si="2"/>
        <v>50000</v>
      </c>
      <c r="S21" s="84">
        <v>0.375</v>
      </c>
      <c r="T21" s="83">
        <f t="shared" si="4"/>
        <v>18750</v>
      </c>
      <c r="V21" s="1"/>
      <c r="W21" s="122"/>
      <c r="X21" s="120"/>
    </row>
    <row r="22" spans="2:28" ht="15" customHeight="1" x14ac:dyDescent="0.25">
      <c r="B22" s="177" t="s">
        <v>1</v>
      </c>
      <c r="C22" s="21">
        <f t="shared" si="0"/>
        <v>130000.01</v>
      </c>
      <c r="D22" s="21"/>
      <c r="E22" s="61">
        <v>0.42499999999999999</v>
      </c>
      <c r="F22" s="195">
        <f>D15*E22+(D16-D15)*(E22-E16)+(D17-D16)*(E22-E17)+(D18-D17)*(E22-E18)+(D19-D18)*(E22-E19)+(D20-D19)*(E22-E20)+(D21-D20)*(E22-E21)</f>
        <v>14826.405739556087</v>
      </c>
      <c r="H22" s="131">
        <v>150000</v>
      </c>
      <c r="I22" s="131">
        <v>2932</v>
      </c>
      <c r="J22" s="21">
        <f>H22-I22</f>
        <v>147068</v>
      </c>
      <c r="K22" s="137">
        <f>J22*E22-F22</f>
        <v>47677.494260443913</v>
      </c>
      <c r="L22" s="136">
        <f>K22/H22</f>
        <v>0.31784996173629276</v>
      </c>
      <c r="M22" s="78">
        <v>8</v>
      </c>
      <c r="N22" s="82" t="s">
        <v>50</v>
      </c>
      <c r="O22" s="80">
        <f t="shared" si="3"/>
        <v>130000.01</v>
      </c>
      <c r="P22" s="82" t="s">
        <v>49</v>
      </c>
      <c r="Q22" s="80">
        <f>J22</f>
        <v>147068</v>
      </c>
      <c r="R22" s="81">
        <f t="shared" si="2"/>
        <v>17068</v>
      </c>
      <c r="S22" s="84">
        <v>0.42499999999999999</v>
      </c>
      <c r="T22" s="83">
        <f t="shared" si="4"/>
        <v>7253.9</v>
      </c>
      <c r="V22" s="1"/>
      <c r="W22" s="122"/>
      <c r="X22" s="120"/>
    </row>
    <row r="23" spans="2:28" ht="5.25" customHeight="1" x14ac:dyDescent="0.25">
      <c r="B23" s="179"/>
      <c r="C23" s="180"/>
      <c r="D23" s="180"/>
      <c r="E23" s="181"/>
      <c r="F23" s="182"/>
      <c r="M23" s="102"/>
      <c r="N23" s="103"/>
      <c r="O23" s="104"/>
      <c r="P23" s="104"/>
      <c r="Q23" s="103"/>
      <c r="R23" s="103"/>
      <c r="S23" s="103"/>
      <c r="T23" s="105"/>
      <c r="V23" s="120"/>
      <c r="W23" s="120"/>
      <c r="X23" s="120"/>
    </row>
    <row r="24" spans="2:28" ht="15" customHeight="1" thickBot="1" x14ac:dyDescent="0.35">
      <c r="M24" s="88"/>
      <c r="N24" s="99"/>
      <c r="O24" s="100"/>
      <c r="P24" s="110"/>
      <c r="Q24" s="111"/>
      <c r="R24" s="111"/>
      <c r="S24" s="112"/>
      <c r="T24" s="101">
        <f>SUM(T15:T22)</f>
        <v>47677.494260443913</v>
      </c>
      <c r="V24" s="120"/>
      <c r="W24" s="120"/>
      <c r="X24" s="87"/>
      <c r="Y24" s="13"/>
      <c r="Z24" s="13"/>
      <c r="AA24" s="13"/>
      <c r="AB24" s="13"/>
    </row>
    <row r="25" spans="2:28" x14ac:dyDescent="0.25">
      <c r="D25" s="156">
        <f>D15/D4</f>
        <v>2.1008624040168491</v>
      </c>
      <c r="E25" s="156" t="s">
        <v>134</v>
      </c>
      <c r="F25" s="1"/>
      <c r="I25" s="203" t="s">
        <v>135</v>
      </c>
      <c r="J25" s="203"/>
      <c r="K25" s="203"/>
      <c r="V25" s="120"/>
      <c r="W25" s="120"/>
      <c r="X25" s="119"/>
    </row>
    <row r="26" spans="2:28" x14ac:dyDescent="0.25">
      <c r="I26" s="18"/>
      <c r="J26" s="21">
        <v>2862</v>
      </c>
      <c r="K26" s="71">
        <v>0</v>
      </c>
      <c r="L26" s="202" t="s">
        <v>136</v>
      </c>
      <c r="M26" s="202"/>
    </row>
    <row r="27" spans="2:28" ht="15.75" x14ac:dyDescent="0.25">
      <c r="F27" s="196" t="s">
        <v>180</v>
      </c>
      <c r="I27" s="21">
        <f>J26+0.01</f>
        <v>2862.01</v>
      </c>
      <c r="J27" s="21">
        <v>3816</v>
      </c>
      <c r="K27" s="61">
        <v>0.15</v>
      </c>
      <c r="L27" s="21">
        <f t="shared" ref="L27:L32" si="5">J27-J26</f>
        <v>954</v>
      </c>
      <c r="M27" s="158">
        <f t="shared" ref="M27:M32" si="6">J27/J26</f>
        <v>1.3333333333333333</v>
      </c>
    </row>
    <row r="28" spans="2:28" x14ac:dyDescent="0.25">
      <c r="I28" s="21">
        <f>J27+0.01</f>
        <v>3816.01</v>
      </c>
      <c r="J28" s="21">
        <v>4770</v>
      </c>
      <c r="K28" s="61">
        <v>0.22500000000000001</v>
      </c>
      <c r="L28" s="21">
        <f t="shared" si="5"/>
        <v>954</v>
      </c>
      <c r="M28" s="158">
        <f t="shared" si="6"/>
        <v>1.25</v>
      </c>
    </row>
    <row r="29" spans="2:28" x14ac:dyDescent="0.25">
      <c r="I29" s="21">
        <f>J28+0.01</f>
        <v>4770.01</v>
      </c>
      <c r="J29" s="21">
        <v>23850</v>
      </c>
      <c r="K29" s="61">
        <v>0.27500000000000002</v>
      </c>
      <c r="L29" s="21">
        <f t="shared" si="5"/>
        <v>19080</v>
      </c>
      <c r="M29" s="158">
        <f t="shared" si="6"/>
        <v>5</v>
      </c>
    </row>
    <row r="30" spans="2:28" x14ac:dyDescent="0.25">
      <c r="I30" s="21">
        <f>J29+0.01</f>
        <v>23850.01</v>
      </c>
      <c r="J30" s="21">
        <v>28620</v>
      </c>
      <c r="K30" s="61">
        <v>0.3</v>
      </c>
      <c r="L30" s="21">
        <f t="shared" si="5"/>
        <v>4770</v>
      </c>
      <c r="M30" s="158">
        <f t="shared" si="6"/>
        <v>1.2</v>
      </c>
    </row>
    <row r="31" spans="2:28" x14ac:dyDescent="0.25">
      <c r="I31" s="21">
        <f t="shared" ref="I31:I33" si="7">J30+0.01</f>
        <v>28620.01</v>
      </c>
      <c r="J31" s="21">
        <v>38160</v>
      </c>
      <c r="K31" s="61">
        <v>0.35</v>
      </c>
      <c r="L31" s="21">
        <f t="shared" si="5"/>
        <v>9540</v>
      </c>
      <c r="M31" s="158">
        <f t="shared" si="6"/>
        <v>1.3333333333333333</v>
      </c>
    </row>
    <row r="32" spans="2:28" x14ac:dyDescent="0.25">
      <c r="I32" s="21">
        <f t="shared" si="7"/>
        <v>38160.01</v>
      </c>
      <c r="J32" s="21">
        <v>76320</v>
      </c>
      <c r="K32" s="61">
        <v>0.4</v>
      </c>
      <c r="L32" s="21">
        <f t="shared" si="5"/>
        <v>38160</v>
      </c>
      <c r="M32" s="158">
        <f t="shared" si="6"/>
        <v>2</v>
      </c>
    </row>
    <row r="33" spans="8:11" x14ac:dyDescent="0.25">
      <c r="I33" s="21">
        <f t="shared" si="7"/>
        <v>76320.009999999995</v>
      </c>
      <c r="J33" s="21"/>
      <c r="K33" s="61">
        <v>0.45</v>
      </c>
    </row>
    <row r="34" spans="8:11" x14ac:dyDescent="0.25">
      <c r="I34" s="21"/>
      <c r="J34" s="21"/>
      <c r="K34" s="61"/>
    </row>
    <row r="35" spans="8:11" ht="18.75" customHeight="1" x14ac:dyDescent="0.25">
      <c r="K35" s="204" t="s">
        <v>54</v>
      </c>
    </row>
    <row r="36" spans="8:11" x14ac:dyDescent="0.25">
      <c r="J36">
        <f>D17/D15</f>
        <v>1.9701099801468507</v>
      </c>
      <c r="K36" s="204"/>
    </row>
    <row r="37" spans="8:11" x14ac:dyDescent="0.25">
      <c r="H37" s="127">
        <f>D15/J26</f>
        <v>1.3976240391334731</v>
      </c>
      <c r="K37" s="128">
        <v>2846935</v>
      </c>
    </row>
    <row r="38" spans="8:11" x14ac:dyDescent="0.25">
      <c r="H38" s="127"/>
      <c r="I38" s="1">
        <f t="shared" ref="I38:I43" si="8">D16-D15</f>
        <v>1938.4027143142266</v>
      </c>
      <c r="J38" s="124">
        <f t="shared" ref="J38:J43" si="9">D16/D15</f>
        <v>1.4846006785785566</v>
      </c>
      <c r="K38" s="129"/>
    </row>
    <row r="39" spans="8:11" x14ac:dyDescent="0.25">
      <c r="H39" s="127">
        <f>D17/J27</f>
        <v>2.0651048009925059</v>
      </c>
      <c r="I39" s="1">
        <f t="shared" si="8"/>
        <v>1942.0372062731758</v>
      </c>
      <c r="J39" s="124">
        <f t="shared" si="9"/>
        <v>1.3270302301310739</v>
      </c>
      <c r="K39" s="129"/>
    </row>
    <row r="40" spans="8:11" x14ac:dyDescent="0.25">
      <c r="H40" s="127">
        <f>D18/J28</f>
        <v>2.0544760668279491</v>
      </c>
      <c r="I40" s="1">
        <f t="shared" si="8"/>
        <v>1919.410918181914</v>
      </c>
      <c r="J40" s="124">
        <f t="shared" si="9"/>
        <v>1.2435664680556111</v>
      </c>
      <c r="K40" s="129"/>
    </row>
    <row r="41" spans="8:11" x14ac:dyDescent="0.25">
      <c r="H41" s="127">
        <f>D19/J29</f>
        <v>2.0964360587002098</v>
      </c>
      <c r="I41" s="1">
        <f t="shared" si="8"/>
        <v>40200.149161230685</v>
      </c>
      <c r="J41" s="125">
        <f t="shared" si="9"/>
        <v>5.102118473292915</v>
      </c>
      <c r="K41" s="129"/>
    </row>
    <row r="42" spans="8:11" x14ac:dyDescent="0.25">
      <c r="H42" s="127">
        <f>(D20+D21)/2/J31</f>
        <v>2.7515723270440251</v>
      </c>
      <c r="I42" s="1">
        <f t="shared" si="8"/>
        <v>30000</v>
      </c>
      <c r="J42" s="125">
        <f t="shared" si="9"/>
        <v>1.6</v>
      </c>
      <c r="K42" s="129"/>
    </row>
    <row r="43" spans="8:11" x14ac:dyDescent="0.25">
      <c r="H43" s="127">
        <f>D21/J32</f>
        <v>1.7033542976939204</v>
      </c>
      <c r="I43" s="1">
        <f t="shared" si="8"/>
        <v>50000</v>
      </c>
      <c r="J43" s="125">
        <f t="shared" si="9"/>
        <v>1.625</v>
      </c>
      <c r="K43" s="129"/>
    </row>
    <row r="44" spans="8:11" x14ac:dyDescent="0.25">
      <c r="H44" s="127"/>
      <c r="I44" s="1"/>
      <c r="J44" s="125"/>
      <c r="K44" s="129"/>
    </row>
  </sheetData>
  <mergeCells count="7">
    <mergeCell ref="B2:F2"/>
    <mergeCell ref="B3:D3"/>
    <mergeCell ref="L26:M26"/>
    <mergeCell ref="I25:K25"/>
    <mergeCell ref="K35:K36"/>
    <mergeCell ref="B12:F12"/>
    <mergeCell ref="B14:D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2EDC-D7DB-4F62-9016-ECFF1133FE74}">
  <dimension ref="C1:S19"/>
  <sheetViews>
    <sheetView showGridLines="0" zoomScale="110" zoomScaleNormal="110" workbookViewId="0">
      <selection activeCell="H5" sqref="H5"/>
    </sheetView>
  </sheetViews>
  <sheetFormatPr defaultRowHeight="15" x14ac:dyDescent="0.25"/>
  <cols>
    <col min="3" max="3" width="13.85546875" customWidth="1"/>
    <col min="4" max="4" width="9.7109375" customWidth="1"/>
    <col min="5" max="6" width="12.140625" customWidth="1"/>
    <col min="7" max="7" width="9.7109375" customWidth="1"/>
    <col min="8" max="8" width="12.140625" customWidth="1"/>
    <col min="9" max="9" width="12.5703125" customWidth="1"/>
    <col min="10" max="10" width="13.85546875" customWidth="1"/>
    <col min="11" max="11" width="5.7109375" customWidth="1"/>
    <col min="12" max="13" width="11.140625" customWidth="1"/>
    <col min="15" max="15" width="17.5703125" customWidth="1"/>
    <col min="16" max="16" width="16.7109375" customWidth="1"/>
    <col min="17" max="19" width="15.140625" customWidth="1"/>
  </cols>
  <sheetData>
    <row r="1" spans="3:19" ht="4.5" customHeight="1" thickBot="1" x14ac:dyDescent="0.3"/>
    <row r="2" spans="3:19" ht="72.75" customHeight="1" x14ac:dyDescent="0.25">
      <c r="C2" s="138" t="s">
        <v>67</v>
      </c>
      <c r="D2" s="139" t="s">
        <v>93</v>
      </c>
      <c r="E2" s="139" t="s">
        <v>94</v>
      </c>
      <c r="F2" s="139" t="s">
        <v>95</v>
      </c>
      <c r="G2" s="139" t="s">
        <v>96</v>
      </c>
      <c r="H2" s="148" t="s">
        <v>97</v>
      </c>
      <c r="I2" s="139" t="s">
        <v>92</v>
      </c>
      <c r="J2" s="140" t="s">
        <v>162</v>
      </c>
      <c r="L2" s="240" t="s">
        <v>72</v>
      </c>
      <c r="M2" s="240" t="s">
        <v>73</v>
      </c>
    </row>
    <row r="3" spans="3:19" ht="30.75" customHeight="1" x14ac:dyDescent="0.25">
      <c r="C3" s="144" t="s">
        <v>90</v>
      </c>
      <c r="D3" s="146" t="s">
        <v>91</v>
      </c>
      <c r="E3" s="146" t="s">
        <v>100</v>
      </c>
      <c r="F3" s="146" t="s">
        <v>101</v>
      </c>
      <c r="G3" s="146" t="s">
        <v>102</v>
      </c>
      <c r="H3" s="149" t="s">
        <v>103</v>
      </c>
      <c r="I3" s="146" t="s">
        <v>104</v>
      </c>
      <c r="J3" s="147" t="s">
        <v>105</v>
      </c>
      <c r="L3" s="240"/>
      <c r="M3" s="240"/>
    </row>
    <row r="4" spans="3:19" ht="30.75" customHeight="1" x14ac:dyDescent="0.25">
      <c r="C4" s="144" t="s">
        <v>106</v>
      </c>
      <c r="D4" s="146" t="s">
        <v>109</v>
      </c>
      <c r="E4" s="146" t="s">
        <v>130</v>
      </c>
      <c r="F4" s="146" t="s">
        <v>110</v>
      </c>
      <c r="G4" s="146" t="s">
        <v>111</v>
      </c>
      <c r="H4" s="149" t="s">
        <v>123</v>
      </c>
      <c r="I4" s="146" t="s">
        <v>168</v>
      </c>
      <c r="J4" s="147" t="s">
        <v>124</v>
      </c>
      <c r="P4" s="1"/>
    </row>
    <row r="5" spans="3:19" ht="30.75" customHeight="1" thickBot="1" x14ac:dyDescent="0.3">
      <c r="C5" s="143">
        <v>5000</v>
      </c>
      <c r="D5" s="141">
        <v>373.44</v>
      </c>
      <c r="E5" s="141">
        <v>370.48</v>
      </c>
      <c r="F5" s="141">
        <v>354.47</v>
      </c>
      <c r="G5" s="141">
        <v>312.89</v>
      </c>
      <c r="H5" s="150">
        <v>0</v>
      </c>
      <c r="I5" s="141">
        <v>0</v>
      </c>
      <c r="J5" s="142">
        <v>0</v>
      </c>
    </row>
    <row r="6" spans="3:19" ht="30.75" customHeight="1" thickBot="1" x14ac:dyDescent="0.3">
      <c r="C6" s="144" t="s">
        <v>107</v>
      </c>
      <c r="D6" s="146" t="s">
        <v>99</v>
      </c>
      <c r="E6" s="146" t="s">
        <v>132</v>
      </c>
      <c r="F6" s="146" t="s">
        <v>131</v>
      </c>
      <c r="G6" s="146" t="s">
        <v>82</v>
      </c>
      <c r="H6" s="149" t="s">
        <v>125</v>
      </c>
      <c r="I6" s="146" t="s">
        <v>169</v>
      </c>
      <c r="J6" s="147" t="s">
        <v>121</v>
      </c>
      <c r="K6" s="1"/>
      <c r="L6" s="1">
        <f>564.01-241.02</f>
        <v>322.99</v>
      </c>
      <c r="M6" s="1">
        <f>564.01-89.04</f>
        <v>474.96999999999997</v>
      </c>
      <c r="O6" s="183" t="s">
        <v>173</v>
      </c>
      <c r="P6" s="183" t="s">
        <v>179</v>
      </c>
      <c r="Q6" s="184" t="s">
        <v>178</v>
      </c>
      <c r="R6" s="183" t="s">
        <v>170</v>
      </c>
      <c r="S6" s="183" t="s">
        <v>171</v>
      </c>
    </row>
    <row r="7" spans="3:19" ht="30.75" customHeight="1" x14ac:dyDescent="0.25">
      <c r="C7" s="143">
        <v>7500</v>
      </c>
      <c r="D7" s="141">
        <v>1052.06</v>
      </c>
      <c r="E7" s="141">
        <v>952.19</v>
      </c>
      <c r="F7" s="141">
        <v>936.66</v>
      </c>
      <c r="G7" s="141" t="s">
        <v>160</v>
      </c>
      <c r="H7" s="150" t="s">
        <v>159</v>
      </c>
      <c r="I7" s="141">
        <v>362.41</v>
      </c>
      <c r="J7" s="142">
        <v>154.62</v>
      </c>
      <c r="L7" s="1">
        <f>919.6-I7</f>
        <v>557.19000000000005</v>
      </c>
      <c r="M7" s="1">
        <f>919.6-J7</f>
        <v>764.98</v>
      </c>
      <c r="O7" s="186">
        <v>20000</v>
      </c>
      <c r="P7" s="185">
        <v>2932</v>
      </c>
      <c r="Q7" s="185">
        <f>O7-P7</f>
        <v>17068</v>
      </c>
      <c r="R7" s="185">
        <f>Q7*27.5%-1826.41</f>
        <v>2867.2900000000009</v>
      </c>
      <c r="S7" s="187">
        <f>R7/O7</f>
        <v>0.14336450000000003</v>
      </c>
    </row>
    <row r="8" spans="3:19" ht="30.75" customHeight="1" x14ac:dyDescent="0.25">
      <c r="C8" s="144" t="s">
        <v>98</v>
      </c>
      <c r="D8" s="146" t="s">
        <v>116</v>
      </c>
      <c r="E8" s="146" t="s">
        <v>133</v>
      </c>
      <c r="F8" s="146" t="s">
        <v>115</v>
      </c>
      <c r="G8" s="146" t="s">
        <v>114</v>
      </c>
      <c r="H8" s="149" t="s">
        <v>153</v>
      </c>
      <c r="I8" s="146" t="s">
        <v>154</v>
      </c>
      <c r="J8" s="147" t="s">
        <v>155</v>
      </c>
      <c r="L8" s="1">
        <f>2485.5-1849.03</f>
        <v>636.47</v>
      </c>
      <c r="M8" s="1">
        <f>2485.5-1106.35</f>
        <v>1379.15</v>
      </c>
      <c r="O8" s="188">
        <v>50000</v>
      </c>
      <c r="P8" s="189">
        <v>2932</v>
      </c>
      <c r="Q8" s="189">
        <f>O8-P8</f>
        <v>47068</v>
      </c>
      <c r="R8" s="189">
        <f>Q8*27.5%-1826.41</f>
        <v>11117.29</v>
      </c>
      <c r="S8" s="190">
        <f>R8/O8</f>
        <v>0.22234580000000001</v>
      </c>
    </row>
    <row r="9" spans="3:19" ht="30.75" customHeight="1" x14ac:dyDescent="0.25">
      <c r="C9" s="143">
        <v>10000</v>
      </c>
      <c r="D9" s="141">
        <v>1739.56</v>
      </c>
      <c r="E9" s="141">
        <v>1639.4</v>
      </c>
      <c r="F9" s="141">
        <v>1623.8732500000006</v>
      </c>
      <c r="G9" s="141">
        <v>1579.5717500000005</v>
      </c>
      <c r="H9" s="150">
        <v>1569.5452500000001</v>
      </c>
      <c r="I9" s="141">
        <v>922.73</v>
      </c>
      <c r="J9" s="142">
        <v>463.59</v>
      </c>
      <c r="L9" s="1">
        <f>H9-I9</f>
        <v>646.81525000000011</v>
      </c>
      <c r="M9" s="1">
        <f>H9-J9</f>
        <v>1105.9552500000002</v>
      </c>
      <c r="O9" s="194" t="s">
        <v>174</v>
      </c>
      <c r="P9" s="189">
        <v>2932</v>
      </c>
      <c r="Q9" s="189">
        <f>83333.33-P9</f>
        <v>80401.33</v>
      </c>
      <c r="R9" s="189">
        <f>Q9*37.5%-8326.41</f>
        <v>21824.088749999999</v>
      </c>
      <c r="S9" s="190">
        <f>R9/83333.33</f>
        <v>0.261889075475563</v>
      </c>
    </row>
    <row r="10" spans="3:19" ht="30.75" customHeight="1" x14ac:dyDescent="0.25">
      <c r="C10" s="144" t="s">
        <v>68</v>
      </c>
      <c r="D10" s="146" t="s">
        <v>128</v>
      </c>
      <c r="E10" s="146" t="s">
        <v>83</v>
      </c>
      <c r="F10" s="146" t="s">
        <v>84</v>
      </c>
      <c r="G10" s="146" t="s">
        <v>85</v>
      </c>
      <c r="H10" s="149" t="s">
        <v>86</v>
      </c>
      <c r="I10" s="146" t="s">
        <v>157</v>
      </c>
      <c r="J10" s="147" t="s">
        <v>147</v>
      </c>
      <c r="L10" s="1">
        <f>3277.3-2654.13</f>
        <v>623.17000000000007</v>
      </c>
      <c r="M10" s="1">
        <f>3277.3-1825.04</f>
        <v>1452.2600000000002</v>
      </c>
      <c r="O10" s="194" t="s">
        <v>175</v>
      </c>
      <c r="P10" s="189">
        <v>2932</v>
      </c>
      <c r="Q10" s="189">
        <f>94300-P10</f>
        <v>91368</v>
      </c>
      <c r="R10" s="189">
        <f>Q10*37.5%-8326.41</f>
        <v>25936.59</v>
      </c>
      <c r="S10" s="190">
        <f>R10/94300</f>
        <v>0.27504337221633085</v>
      </c>
    </row>
    <row r="11" spans="3:19" ht="30.75" customHeight="1" x14ac:dyDescent="0.25">
      <c r="C11" s="143">
        <v>20000</v>
      </c>
      <c r="D11" s="141">
        <v>4489.5600000000004</v>
      </c>
      <c r="E11" s="141">
        <v>4389.3999999999996</v>
      </c>
      <c r="F11" s="141">
        <v>4373.87</v>
      </c>
      <c r="G11" s="141">
        <v>4329.571750000001</v>
      </c>
      <c r="H11" s="150">
        <v>4319.545250000001</v>
      </c>
      <c r="I11" s="141">
        <v>3672.73</v>
      </c>
      <c r="J11" s="142">
        <v>2867.29</v>
      </c>
      <c r="L11" s="1">
        <f>H11-I11</f>
        <v>646.81525000000101</v>
      </c>
      <c r="M11" s="1">
        <f>H11-J11</f>
        <v>1452.2552500000011</v>
      </c>
      <c r="O11" s="188">
        <v>100000</v>
      </c>
      <c r="P11" s="189">
        <v>2932</v>
      </c>
      <c r="Q11" s="189">
        <f>O11-P11</f>
        <v>97068</v>
      </c>
      <c r="R11" s="189">
        <f>Q11*37.5%-8326.41</f>
        <v>28074.09</v>
      </c>
      <c r="S11" s="190">
        <f>R11/O11</f>
        <v>0.28074090000000002</v>
      </c>
    </row>
    <row r="12" spans="3:19" ht="30.75" customHeight="1" thickBot="1" x14ac:dyDescent="0.3">
      <c r="C12" s="145" t="s">
        <v>108</v>
      </c>
      <c r="D12" s="151" t="s">
        <v>129</v>
      </c>
      <c r="E12" s="151" t="s">
        <v>87</v>
      </c>
      <c r="F12" s="151" t="s">
        <v>88</v>
      </c>
      <c r="G12" s="151" t="s">
        <v>89</v>
      </c>
      <c r="H12" s="152" t="s">
        <v>122</v>
      </c>
      <c r="I12" s="151" t="s">
        <v>158</v>
      </c>
      <c r="J12" s="153" t="s">
        <v>148</v>
      </c>
      <c r="L12" s="1">
        <f>7735.05-7098.58</f>
        <v>636.47000000000025</v>
      </c>
      <c r="M12" s="1">
        <f>7735.05-6282.79</f>
        <v>1452.2600000000002</v>
      </c>
      <c r="O12" s="191">
        <v>150000</v>
      </c>
      <c r="P12" s="192">
        <v>2932</v>
      </c>
      <c r="Q12" s="192">
        <f>O12-P12</f>
        <v>147068</v>
      </c>
      <c r="R12" s="192">
        <f>Q12*42.5%-14826.41</f>
        <v>47677.490000000005</v>
      </c>
      <c r="S12" s="193">
        <f>R12/O12</f>
        <v>0.31784993333333339</v>
      </c>
    </row>
    <row r="13" spans="3:19" ht="6" customHeight="1" x14ac:dyDescent="0.25">
      <c r="D13" s="1"/>
      <c r="E13" s="1"/>
      <c r="F13" s="1"/>
      <c r="G13" s="1"/>
      <c r="H13" s="1"/>
      <c r="I13" s="1"/>
      <c r="J13" s="1"/>
    </row>
    <row r="14" spans="3:19" x14ac:dyDescent="0.25">
      <c r="C14" t="s">
        <v>112</v>
      </c>
      <c r="D14" s="1"/>
      <c r="E14" s="1"/>
      <c r="F14" s="1"/>
      <c r="G14" s="1"/>
      <c r="H14" s="1"/>
      <c r="I14" s="1"/>
      <c r="J14" s="1"/>
      <c r="O14" t="s">
        <v>176</v>
      </c>
    </row>
    <row r="15" spans="3:19" x14ac:dyDescent="0.25">
      <c r="C15" t="s">
        <v>113</v>
      </c>
      <c r="D15" s="1"/>
      <c r="E15" s="1"/>
      <c r="F15" s="1"/>
      <c r="G15" s="1"/>
      <c r="H15" s="1"/>
      <c r="I15" s="1"/>
      <c r="J15" s="1"/>
      <c r="O15" s="173" t="s">
        <v>177</v>
      </c>
      <c r="P15" s="173"/>
      <c r="Q15" s="173"/>
      <c r="R15" s="173"/>
    </row>
    <row r="16" spans="3:19" x14ac:dyDescent="0.25">
      <c r="C16" t="s">
        <v>117</v>
      </c>
      <c r="D16" s="1"/>
      <c r="E16" s="1"/>
      <c r="F16" s="1"/>
      <c r="G16" s="1"/>
      <c r="H16" s="1"/>
      <c r="I16" s="1"/>
      <c r="J16" s="1"/>
    </row>
    <row r="17" spans="3:10" x14ac:dyDescent="0.25">
      <c r="C17" t="s">
        <v>118</v>
      </c>
      <c r="D17" s="1"/>
      <c r="E17" s="1"/>
      <c r="F17" s="1"/>
      <c r="G17" s="1"/>
      <c r="H17" s="1"/>
      <c r="I17" s="1"/>
      <c r="J17" s="1"/>
    </row>
    <row r="18" spans="3:10" x14ac:dyDescent="0.25">
      <c r="C18" t="s">
        <v>156</v>
      </c>
    </row>
    <row r="19" spans="3:10" x14ac:dyDescent="0.25">
      <c r="C19" s="173" t="s">
        <v>161</v>
      </c>
      <c r="D19" s="173"/>
      <c r="E19" s="173"/>
      <c r="F19" s="173"/>
      <c r="G19" s="173"/>
      <c r="H19" s="173"/>
      <c r="I19" s="173"/>
      <c r="J19" s="173"/>
    </row>
  </sheetData>
  <mergeCells count="2">
    <mergeCell ref="L2:L3"/>
    <mergeCell ref="M2:M3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Vl. brutos e IRPF nos anos</vt:lpstr>
      <vt:lpstr>Tabelas mensais diversas</vt:lpstr>
      <vt:lpstr>Gerador de Tabela do IRPF</vt:lpstr>
      <vt:lpstr>Quadro-Resumo do artigo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Mantovani</dc:creator>
  <cp:lastModifiedBy>Carlos Eduardo Mantovani</cp:lastModifiedBy>
  <dcterms:created xsi:type="dcterms:W3CDTF">2025-05-19T12:08:48Z</dcterms:created>
  <dcterms:modified xsi:type="dcterms:W3CDTF">2026-07-07T23:52:31Z</dcterms:modified>
</cp:coreProperties>
</file>